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200" yWindow="0" windowWidth="25480" windowHeight="16720" tabRatio="626" activeTab="0"/>
  </bookViews>
  <sheets>
    <sheet name="評価書作成" sheetId="1" r:id="rId1"/>
    <sheet name="演算data" sheetId="2" r:id="rId2"/>
    <sheet name="比準表入力" sheetId="3" r:id="rId3"/>
    <sheet name="比準演算" sheetId="4" r:id="rId4"/>
    <sheet name="比準グラフ" sheetId="5" r:id="rId5"/>
    <sheet name="計算結果" sheetId="6" r:id="rId6"/>
    <sheet name="結果複写" sheetId="7" r:id="rId7"/>
    <sheet name="収益価格" sheetId="8" r:id="rId8"/>
    <sheet name="TAKUTI11" sheetId="9" r:id="rId9"/>
  </sheets>
  <definedNames>
    <definedName name="【取引事情区分】">'比準表入力'!$A$175:$B$180</definedName>
    <definedName name="_xlnm.Print_Area" localSheetId="1">'演算data'!$A$39:$E$75</definedName>
    <definedName name="_xlnm.Print_Area" localSheetId="5">'計算結果'!$BK$2:$BY$3</definedName>
    <definedName name="_xlnm.Print_Area" localSheetId="6">'結果複写'!$BE$1:$BR$100</definedName>
    <definedName name="_xlnm.Print_Area" localSheetId="7">'収益価格'!$I$1:$Z$61</definedName>
    <definedName name="_xlnm.Print_Area" localSheetId="4">'比準グラフ'!$A$13:$J$43</definedName>
    <definedName name="_xlnm.Print_Area" localSheetId="3">'比準演算'!$C$13:$L$70</definedName>
    <definedName name="_xlnm.Print_Area" localSheetId="2">'比準表入力'!$P$1:$AC$221</definedName>
    <definedName name="_xlnm.Print_Area" localSheetId="0">'評価書作成'!$A$1:$I$74</definedName>
    <definedName name="_xlnm.Print_Titles" localSheetId="5">'計算結果'!$1:$3</definedName>
    <definedName name="_xlnm.Print_Titles" localSheetId="6">'結果複写'!$1:$3</definedName>
    <definedName name="駅の距_離">'比準表入力'!$A$89:$C$96</definedName>
    <definedName name="奥_行短小">'比準表入力'!$A$51:$C$55</definedName>
    <definedName name="奥_行長大">'比準表入力'!$F$51:$H$55</definedName>
    <definedName name="奥_行逓減">'比準表入力'!$F$41:$H$45</definedName>
    <definedName name="下水" localSheetId="1">'比準表入力'!$F$127:$H$130</definedName>
    <definedName name="下水" localSheetId="3">'比準表入力'!$F$127:$H$130</definedName>
    <definedName name="下水" localSheetId="2">'比準表入力'!$F$127:$H$130</definedName>
    <definedName name="画地形状" localSheetId="1">'比準表入力'!$K$21:$M$30</definedName>
    <definedName name="画地形状" localSheetId="3">'比準表入力'!$K$21:$M$30</definedName>
    <definedName name="画地形状" localSheetId="2">'比準表入力'!$K$21:$M$30</definedName>
    <definedName name="画地地勢">'比準表入力'!$K$76:$M$83</definedName>
    <definedName name="街路種別" localSheetId="1">'比準表入力'!$A$62:$C$71</definedName>
    <definedName name="街路種別" localSheetId="3">'比準表入力'!$A$62:$C$71</definedName>
    <definedName name="街路種別" localSheetId="2">'比準表入力'!$A$62:$C$71</definedName>
    <definedName name="街路方位" localSheetId="1">'比準表入力'!$K$8:$M$16</definedName>
    <definedName name="街路方位" localSheetId="3">'比準表入力'!$K$8:$M$16</definedName>
    <definedName name="街路方位" localSheetId="2">'比準表入力'!$K$8:$M$16</definedName>
    <definedName name="間_口狭小">'比準表入力'!$A$41:$C$45</definedName>
    <definedName name="危険施設距_離">'比準表入力'!$K$115:$M$122</definedName>
    <definedName name="基準建蔽率">'比準表入力'!$K$135:$M$147</definedName>
    <definedName name="基準容積率">'比準表入力'!$F$135:$H$147</definedName>
    <definedName name="居住快適性等">'比準表入力'!$F$165:$H$172</definedName>
    <definedName name="系統連続性" localSheetId="1">'比準表入力'!$F$62:$H$69</definedName>
    <definedName name="系統連続性" localSheetId="3">'比準表入力'!$F$62:$H$69</definedName>
    <definedName name="系統連続性" localSheetId="2">'比準表入力'!$F$62:$H$69</definedName>
    <definedName name="結果一覧" localSheetId="6">'結果複写'!$4:$40</definedName>
    <definedName name="結果一覧" localSheetId="0">'結果複写'!$4:$40</definedName>
    <definedName name="圏域中心距_離">'比準表入力'!$A$101:$C$108</definedName>
    <definedName name="公共施設距_離">'比準表入力'!$K$89:$M$96</definedName>
    <definedName name="高低差">'比準表入力'!$F$76:$H$83</definedName>
    <definedName name="準側道幅_員">'比準表入力'!$F$30:$H$37</definedName>
    <definedName name="商業施設距_離">'比準表入力'!$F$89:$H$96</definedName>
    <definedName name="商業繁華性等">'比準表入力'!$A$165:$C$172</definedName>
    <definedName name="水道" localSheetId="1">'比準表入力'!$A$127:$C$130</definedName>
    <definedName name="水道" localSheetId="3">'比準表入力'!$A$127:$C$130</definedName>
    <definedName name="水道" localSheetId="2">'比準表入力'!$A$127:$C$130</definedName>
    <definedName name="正面幅_員">'比準表入力'!$A$76:$C$83</definedName>
    <definedName name="接面状況" localSheetId="1">'比準表入力'!$K$35:$M$40</definedName>
    <definedName name="接面状況" localSheetId="3">'比準表入力'!$K$35:$M$40</definedName>
    <definedName name="接面状況" localSheetId="2">'比準表入力'!$K$35:$M$40</definedName>
    <definedName name="側道Ａ幅_員">'比準表入力'!$A$19:$C$26</definedName>
    <definedName name="側道Ｂ幅_員">'比準表入力'!$F$19:$H$26</definedName>
    <definedName name="側道Ｃ幅員">'比準表入力'!$A$4:$C$30</definedName>
    <definedName name="地_積過小">'比準表入力'!$F$8:$H$12</definedName>
    <definedName name="地_積過大">'比準表入力'!$A$8:$C$12</definedName>
    <definedName name="都計区分">'比準表入力'!$A$153:$D$160</definedName>
    <definedName name="都市ガス" localSheetId="1">'比準表入力'!$K$127:$M$130</definedName>
    <definedName name="都市ガス" localSheetId="3">'比準表入力'!$K$127:$M$130</definedName>
    <definedName name="都市ガス" localSheetId="2">'比準表入力'!$K$127:$M$130</definedName>
    <definedName name="日照・地勢" localSheetId="1">'比準表入力'!$A$115:$C$117</definedName>
    <definedName name="日照・地勢" localSheetId="3">'比準表入力'!$A$115:$C$117</definedName>
    <definedName name="日照・地勢" localSheetId="2">'比準表入力'!$A$115:$C$117</definedName>
    <definedName name="背面道幅_員">'比準表入力'!$A$30:$C$34</definedName>
    <definedName name="比準表">'比準表入力'!$S$4:$AF$218</definedName>
    <definedName name="舗装状態" localSheetId="1">'比準表入力'!$K$69:$M$71</definedName>
    <definedName name="舗装状態" localSheetId="3">'比準表入力'!$K$69:$M$71</definedName>
    <definedName name="舗装状態" localSheetId="2">'比準表入力'!$K$69:$M$71</definedName>
    <definedName name="歩道有無" localSheetId="1">'比準表入力'!$K$62:$M$64</definedName>
    <definedName name="歩道有無" localSheetId="3">'比準表入力'!$K$62:$M$64</definedName>
    <definedName name="歩道有無" localSheetId="2">'比準表入力'!$K$62:$M$64</definedName>
    <definedName name="防火規制" localSheetId="1">'比準表入力'!$F$153:$H$155</definedName>
    <definedName name="防火規制" localSheetId="2">'比準表入力'!$F$153:$H$155</definedName>
    <definedName name="用途地域" localSheetId="1">'比準表入力'!$A$135:$D$149</definedName>
    <definedName name="用途地域" localSheetId="7">'比準表入力'!$A$135:$D$149</definedName>
    <definedName name="用途地域" localSheetId="3">'比準表入力'!$A$135:$D$149</definedName>
    <definedName name="用途地域" localSheetId="2">'比準表入力'!$A$135:$D$149</definedName>
    <definedName name="用途的多様性等">'比準表入力'!$K$165:$M$172</definedName>
    <definedName name="類型区分">'評価書作成'!$G$99:$H$101</definedName>
  </definedNames>
  <calcPr fullCalcOnLoad="1"/>
</workbook>
</file>

<file path=xl/sharedStrings.xml><?xml version="1.0" encoding="utf-8"?>
<sst xmlns="http://schemas.openxmlformats.org/spreadsheetml/2006/main" count="3596" uniqueCount="1339">
  <si>
    <t>そ　　の　　他</t>
  </si>
  <si>
    <t>対象地近隣地域</t>
  </si>
  <si>
    <t>事例地等近隣地域</t>
  </si>
  <si>
    <t>主街路の方位</t>
  </si>
  <si>
    <t>評価対象地データの貼り付け場所【７行目に行複写する】</t>
  </si>
  <si>
    <t>結果複写用の行です。</t>
  </si>
  <si>
    <t>表　　示</t>
  </si>
  <si>
    <t>事例等番号</t>
  </si>
  <si>
    <t>対象地要因</t>
  </si>
  <si>
    <t>格差区分</t>
  </si>
  <si>
    <t>事例地等要因</t>
  </si>
  <si>
    <t>画　　地　　条　　件</t>
  </si>
  <si>
    <t>（公示等価格）</t>
  </si>
  <si>
    <t>又は(取引価格)</t>
  </si>
  <si>
    <t>99999</t>
  </si>
  <si>
    <t>長良山田町９丁目９９</t>
  </si>
  <si>
    <t>長良山田町９丁目９９</t>
  </si>
  <si>
    <t>地価公示地</t>
  </si>
  <si>
    <t>地価公示地</t>
  </si>
  <si>
    <t>岐阜ー99</t>
  </si>
  <si>
    <t>岐阜ー99</t>
  </si>
  <si>
    <t>長良太平町３丁目７７</t>
  </si>
  <si>
    <t>長良太平町３丁目７７</t>
  </si>
  <si>
    <t>3.通常は、地価公示データといえども再吟味して使用するものであると考えて、データ直接読み込み手法は採用しなかった。</t>
  </si>
  <si>
    <t>4.比準表を作成する。作成完了後の比準表はマクロボタンを利用して印刷する。</t>
  </si>
  <si>
    <r>
      <t>1.データ入力を</t>
    </r>
    <r>
      <rPr>
        <sz val="12"/>
        <color indexed="10"/>
        <rFont val="Osaka"/>
        <family val="3"/>
      </rPr>
      <t>演算dataシート</t>
    </r>
    <r>
      <rPr>
        <sz val="12"/>
        <rFont val="Osaka"/>
        <family val="0"/>
      </rPr>
      <t>に行う。大半は地価公示フォーマットを採用しているが、一部は独自フォーマットである。</t>
    </r>
  </si>
  <si>
    <t>5.マクロボタンを使用して比準演算を実行する。　印刷された比準結果を検討する。</t>
  </si>
  <si>
    <r>
      <t>6.「比準結果」は</t>
    </r>
    <r>
      <rPr>
        <sz val="12"/>
        <color indexed="10"/>
        <rFont val="Osaka"/>
        <family val="3"/>
      </rPr>
      <t>「結果複写シート」</t>
    </r>
    <r>
      <rPr>
        <sz val="12"/>
        <rFont val="Osaka"/>
        <family val="0"/>
      </rPr>
      <t>に自動複写される。「結果複写」シートの存在はマクロ処理との関係上必要である。</t>
    </r>
  </si>
  <si>
    <t>8.作成事例資料の数に応じて、事例資料の置き換えが可能であるから、事例を置き換えて試算結果を吟味する。</t>
  </si>
  <si>
    <t>10.シート読替、演算data＝Data入力、試算結果＝使用Data、結果複写＝演算結果、個別的要因の追加入力必須。</t>
  </si>
  <si>
    <t>　</t>
  </si>
  <si>
    <t>環境普通</t>
  </si>
  <si>
    <t>※本表の構成は、国土交通省監修「土地価格比準表」に準拠するが、重複要因や判定要因は独自に改訂するものである。</t>
  </si>
  <si>
    <t>※本表に採用した事例地数量等の数値は「約の表示」有無に関わらず、全てROUND値もしくは概測値である。コード末尾数字＝４はリニア比準採用。</t>
  </si>
  <si>
    <t>幅員</t>
  </si>
  <si>
    <t>採用建蔽率</t>
  </si>
  <si>
    <t>正面街路の系統構造・幅員等の状態</t>
  </si>
  <si>
    <t>※備考　リニア比準に関する置換行は、個別の比準過程に使用する行データであり、比準表全体構成には無関係である。</t>
  </si>
  <si>
    <t>※奥行区分は国交省比準表備考欄による</t>
  </si>
  <si>
    <t>ほぼ整形</t>
  </si>
  <si>
    <t>※奥行長大区分は国交省比準表備考欄による</t>
  </si>
  <si>
    <t>標準地長大率</t>
  </si>
  <si>
    <t>事例地長大率</t>
  </si>
  <si>
    <t>二方路地</t>
  </si>
  <si>
    <t>四方路地</t>
  </si>
  <si>
    <t>※角地等＝基本点×方位点×幅員点</t>
  </si>
  <si>
    <t>※相乗効果の発生に注意する。</t>
  </si>
  <si>
    <t>環境特優</t>
  </si>
  <si>
    <t>区画番号２画地</t>
  </si>
  <si>
    <t>計算建蔽率</t>
  </si>
  <si>
    <t>採用建蔽率</t>
  </si>
  <si>
    <t>※側道等加算点の相乗効果の発生に注意すること。</t>
  </si>
  <si>
    <t>※接近条件区分及び評点については、標準データとの格差に注意すること。</t>
  </si>
  <si>
    <t>（標準画地）</t>
  </si>
  <si>
    <t>対象地域要因</t>
  </si>
  <si>
    <t>事例地域等要因</t>
  </si>
  <si>
    <t>街　　路　　条　　件</t>
  </si>
  <si>
    <t>一般住宅等が建ち並ぶ住宅地域</t>
  </si>
  <si>
    <t>一般住宅のほか事務所・作業所等も介在する住宅地域</t>
  </si>
  <si>
    <t>総額272百万円、建物H10年築RC・170百万円</t>
  </si>
  <si>
    <t>総額272百万円、建物H10年築RC・170百万円</t>
  </si>
  <si>
    <t>未利用空地</t>
  </si>
  <si>
    <t>賃貸住宅</t>
  </si>
  <si>
    <t>Ｓ２</t>
  </si>
  <si>
    <t>2002　21</t>
  </si>
  <si>
    <t>2002　02</t>
  </si>
  <si>
    <t>※備考　不整形地補正については、最大整形地率計算或いは陰地補正率計算が望ましいが、煩雑さと相対的誤差を考慮して採用していない。</t>
  </si>
  <si>
    <t>及び社会的環境</t>
  </si>
  <si>
    <t>用途的展開性等</t>
  </si>
  <si>
    <t>嫌悪施設・処　　　理施設等との　　　接近の程度</t>
  </si>
  <si>
    <t>嫌悪施設・処理　　　　　　施設等の有無</t>
  </si>
  <si>
    <t>【取引事情区分】</t>
  </si>
  <si>
    <t>買進み事情</t>
  </si>
  <si>
    <t>隣地買増事情</t>
  </si>
  <si>
    <t>環　　境　　条　　件</t>
  </si>
  <si>
    <t>嫌悪施設等</t>
  </si>
  <si>
    <t>行　　政　　的　　条　　件</t>
  </si>
  <si>
    <t>※側道等加算点は接面状況点(角地等補正基準点)に各側道の方位点と幅員点を乗じて査定する。試算結果は格差比準表を参照のこと。</t>
  </si>
  <si>
    <t>(幅員加算点)</t>
  </si>
  <si>
    <t>公道</t>
  </si>
  <si>
    <t>無し</t>
  </si>
  <si>
    <t>画地地勢</t>
  </si>
  <si>
    <t>平坦地</t>
  </si>
  <si>
    <t>緩傾斜地</t>
  </si>
  <si>
    <t>傾斜度中</t>
  </si>
  <si>
    <t>傾斜度強</t>
  </si>
  <si>
    <t>急峻地</t>
  </si>
  <si>
    <t>(備　考)</t>
  </si>
  <si>
    <t>他　の　要　因</t>
  </si>
  <si>
    <t>主街路接面方位</t>
  </si>
  <si>
    <t>主街路高低差</t>
  </si>
  <si>
    <t>（公示等時点）</t>
  </si>
  <si>
    <t>又は(取引時点)</t>
  </si>
  <si>
    <t>（時点修正率）</t>
  </si>
  <si>
    <t>画地形状</t>
  </si>
  <si>
    <t>(取引事情)</t>
  </si>
  <si>
    <t>三方路地</t>
  </si>
  <si>
    <t>相乗標準化補正率</t>
  </si>
  <si>
    <t>条件</t>
  </si>
  <si>
    <t>価格形成要因データ票</t>
  </si>
  <si>
    <r>
      <t>最寄</t>
    </r>
    <r>
      <rPr>
        <sz val="12"/>
        <color indexed="10"/>
        <rFont val="Osaka"/>
        <family val="3"/>
      </rPr>
      <t>駅</t>
    </r>
    <r>
      <rPr>
        <sz val="12"/>
        <rFont val="Osaka"/>
        <family val="0"/>
      </rPr>
      <t>名称</t>
    </r>
  </si>
  <si>
    <t>中部総合不動産鑑定(株)</t>
  </si>
  <si>
    <t>㎡当月額賃料</t>
  </si>
  <si>
    <t>正常価格／㎡</t>
  </si>
  <si>
    <t>円／㎡</t>
  </si>
  <si>
    <t>上記の各期間地価変動率は類似する地価公示価格及び地価調査価格の推移を基礎にして判定するものである。</t>
  </si>
  <si>
    <t>比準平均値</t>
  </si>
  <si>
    <t>比準表用途区分</t>
  </si>
  <si>
    <t>一般住宅地</t>
  </si>
  <si>
    <t>※対象地の比準表用途区分を入力する。</t>
  </si>
  <si>
    <t>概算経過日数</t>
  </si>
  <si>
    <t>未整備</t>
  </si>
  <si>
    <t>供給区域</t>
  </si>
  <si>
    <t>（特に優る）</t>
  </si>
  <si>
    <t>環境優る</t>
  </si>
  <si>
    <t>（優　　る）</t>
  </si>
  <si>
    <t>※備考　リニア比準に関する置換行は、個別の比準過程に使用する行データであり、比準表全体構成には無関係である。</t>
  </si>
  <si>
    <t>無し=0㎡</t>
  </si>
  <si>
    <t>ＪＲ岐阜駅</t>
  </si>
  <si>
    <t>なし</t>
  </si>
  <si>
    <t>農地・空地も介在する住宅地域</t>
  </si>
  <si>
    <t>※備考　以上の比準表は国土庁監修第六次改訂土地価格比準表に準拠し、比準格差区分及び比準格差評点は評価地域の実態に照らして補正を行う。</t>
  </si>
  <si>
    <t>価格形成要因データ票</t>
  </si>
  <si>
    <r>
      <t>バス</t>
    </r>
    <r>
      <rPr>
        <sz val="12"/>
        <color indexed="10"/>
        <rFont val="Osaka"/>
        <family val="3"/>
      </rPr>
      <t>停</t>
    </r>
    <r>
      <rPr>
        <sz val="12"/>
        <rFont val="Osaka"/>
        <family val="0"/>
      </rPr>
      <t>名称</t>
    </r>
  </si>
  <si>
    <t xml:space="preserve"> </t>
  </si>
  <si>
    <t>価格時点</t>
  </si>
  <si>
    <t>他の規制(8字）</t>
  </si>
  <si>
    <t>(概測数値表示)</t>
  </si>
  <si>
    <t>標準画地</t>
  </si>
  <si>
    <t>標準地積</t>
  </si>
  <si>
    <t>標準地間口</t>
  </si>
  <si>
    <t>標準地形状</t>
  </si>
  <si>
    <t>標準地奥行</t>
  </si>
  <si>
    <t>ガ　　ス</t>
  </si>
  <si>
    <t>（その他）</t>
  </si>
  <si>
    <t>（注）道路接面関係及び隣接地等は対象地からの位置であり、各数値は概測値である。</t>
  </si>
  <si>
    <t>やや優る</t>
  </si>
  <si>
    <t>縁故売却</t>
  </si>
  <si>
    <t>（限界値）</t>
  </si>
  <si>
    <t>※備考　リニア比準に関する置換行は、個別の比準過程に使用する行データであり、比準表全体構成には無関係である。</t>
  </si>
  <si>
    <t>防火規制</t>
  </si>
  <si>
    <t>接面道幅員</t>
  </si>
  <si>
    <t>建蔽率計算1</t>
  </si>
  <si>
    <t>第一期</t>
  </si>
  <si>
    <t>類型区分</t>
  </si>
  <si>
    <t>更地</t>
  </si>
  <si>
    <t>建付地</t>
  </si>
  <si>
    <t>無し=0㎡</t>
  </si>
  <si>
    <t>※備考　以上の比準表は国土庁監修第六次改訂土地価格比準表に準拠し、比準格差区分及び比準格差評点は評価地域の実態に照らして補正を行う。</t>
  </si>
  <si>
    <t>その４</t>
  </si>
  <si>
    <t>※備考　リニア比準に関する置換行は、個別の比準過程に使用する行データであり、比準表全体構成には無関係である。</t>
  </si>
  <si>
    <t>×─── ＝</t>
  </si>
  <si>
    <t>×───</t>
  </si>
  <si>
    <t>×───＝</t>
  </si>
  <si>
    <t>円／㎡）</t>
  </si>
  <si>
    <t>別紙５の1</t>
  </si>
  <si>
    <t>※備考　以上の比準表は国土庁監修第六次改訂土地価格比準表に準拠し、比準格差区分及び比準格差評点は評価地域の実態に照らして補正を行う。</t>
  </si>
  <si>
    <t>日照・通風、地勢・地盤</t>
  </si>
  <si>
    <t>　</t>
  </si>
  <si>
    <t>建蔽率計算2</t>
  </si>
  <si>
    <t>建蔽率計算3</t>
  </si>
  <si>
    <t>標準地積</t>
  </si>
  <si>
    <t>奥行長大</t>
  </si>
  <si>
    <t>岐阜（県）  -21</t>
  </si>
  <si>
    <t>　（注）次頁以下、価格形成要因の調査及び格差比準表に記載する評点は、国交省六次改訂土地価格比準表に準拠して作成する比準表による。</t>
  </si>
  <si>
    <t>住居表示</t>
  </si>
  <si>
    <t>損害保険料率</t>
  </si>
  <si>
    <t>（8）</t>
  </si>
  <si>
    <t>接　　近　　条　　件</t>
  </si>
  <si>
    <t>別紙５の2</t>
  </si>
  <si>
    <t>（㎡）</t>
  </si>
  <si>
    <t>㎡当り月額</t>
  </si>
  <si>
    <t>円／㎡</t>
  </si>
  <si>
    <t>（３）公　租　公　課　　　　　 土地</t>
  </si>
  <si>
    <t xml:space="preserve">建物    </t>
  </si>
  <si>
    <t>基準建蔽率</t>
  </si>
  <si>
    <t>コード番号</t>
  </si>
  <si>
    <t>空室損失月数</t>
  </si>
  <si>
    <t>（㎡当たりの月額支払い賃料の算出根拠）</t>
  </si>
  <si>
    <t>(実際実質賃料)</t>
  </si>
  <si>
    <t>(実際支払賃料)</t>
  </si>
  <si>
    <t>　</t>
  </si>
  <si>
    <t>　　</t>
  </si>
  <si>
    <t>※側道等加算は方位点は、主要街路接面方位点と同じであるが、幅員点は２分の１程度の加算とする。</t>
  </si>
  <si>
    <t>(国交省ｺｰﾄﾞ順準拠)</t>
  </si>
  <si>
    <t>※主要街路幅員点は後記の通りである。側道幅員はリニア比準でないことに注意する。</t>
  </si>
  <si>
    <t>※間口区分は国交省比準表備考欄による</t>
  </si>
  <si>
    <t>2</t>
  </si>
  <si>
    <t>非線引都計</t>
  </si>
  <si>
    <t>側　　道　　等　　条　　件</t>
  </si>
  <si>
    <t>(※幹線街路距離置換)</t>
  </si>
  <si>
    <t>TXT入力</t>
  </si>
  <si>
    <t>コード表参照</t>
  </si>
  <si>
    <t>【接近条件について】※接近条件対象施設は演算dataで確定する。</t>
  </si>
  <si>
    <t>標準＝4</t>
  </si>
  <si>
    <t>形状</t>
  </si>
  <si>
    <t>長方形地</t>
  </si>
  <si>
    <t>判定期間入力</t>
  </si>
  <si>
    <t>年率変動率</t>
  </si>
  <si>
    <t>素地</t>
  </si>
  <si>
    <t>※年率換算変動率を入力する</t>
  </si>
  <si>
    <t>直前公示等基準日</t>
  </si>
  <si>
    <t>他の画地要因</t>
  </si>
  <si>
    <t>個別的要因格差相乗計</t>
  </si>
  <si>
    <t>相乗個別格差補正率</t>
  </si>
  <si>
    <t>※備考　地積をはじめ、建蔽率、容積率等の限界値は、計算上のダミー数値である。　無道路地、袋地、崖地等、及び私道減価率、高圧線線下地補正率は別途算定入力する。</t>
  </si>
  <si>
    <t>周辺の利用状況</t>
  </si>
  <si>
    <t>備考欄</t>
  </si>
  <si>
    <t>更=1、建=2、素=3</t>
  </si>
  <si>
    <t>要因入力</t>
  </si>
  <si>
    <t>　　　実際の距離は表示するものでなく、格差の傾向を示すものである。</t>
  </si>
  <si>
    <t>引込可</t>
  </si>
  <si>
    <t>宅地</t>
  </si>
  <si>
    <t>指定無し</t>
  </si>
  <si>
    <t>角地</t>
  </si>
  <si>
    <t>権利金等</t>
  </si>
  <si>
    <t>（７）建物等の取壊費用の積立金</t>
  </si>
  <si>
    <t>事情区分</t>
  </si>
  <si>
    <t>事情限定価格</t>
  </si>
  <si>
    <t>建物用途</t>
  </si>
  <si>
    <t>他環境条件格差</t>
  </si>
  <si>
    <t>行政的条件１</t>
  </si>
  <si>
    <t>重視事例 0/1</t>
  </si>
  <si>
    <t>　</t>
  </si>
  <si>
    <t>注意・３～６（階）共通の様な場合は３～６階の合計床面積を入力する。</t>
  </si>
  <si>
    <t>商業施設名</t>
  </si>
  <si>
    <t>※備考　以上の比準表は国土庁監修第六次改訂土地価格比準表に準拠し、比準格差区分及び比準格差評点は評価地域の実態に照らして補正を行う。</t>
  </si>
  <si>
    <t>数値入力</t>
  </si>
  <si>
    <t>画地地勢</t>
  </si>
  <si>
    <t>最寄駅等名称</t>
  </si>
  <si>
    <t>駅等迄の距離</t>
  </si>
  <si>
    <t>公共施設名</t>
  </si>
  <si>
    <t>周辺状況</t>
  </si>
  <si>
    <t>時点修正率計算</t>
  </si>
  <si>
    <t>都計区分</t>
  </si>
  <si>
    <t>嫌悪施設名</t>
  </si>
  <si>
    <t>嫌悪施設距離</t>
  </si>
  <si>
    <t>備考を記載</t>
  </si>
  <si>
    <t>事例地番実数</t>
  </si>
  <si>
    <t>時点修正率</t>
  </si>
  <si>
    <t>推定価格</t>
  </si>
  <si>
    <t>岐阜市</t>
  </si>
  <si>
    <t>※以下４行は原則使用不可。</t>
  </si>
  <si>
    <t>基準容積率計算</t>
  </si>
  <si>
    <t>　（注）事例地、標準化補正、地域格差補正、個別格差補正の詳細は次頁以下に記載する。</t>
  </si>
  <si>
    <t>開発法価格</t>
  </si>
  <si>
    <t>下　　水</t>
  </si>
  <si>
    <t>　（注）本表の事例資料経過日数は情報守秘の関係から実数値をROUNDする値であり、概算経過日数に基づく計算値と表示する時点修正率は一致しない。</t>
  </si>
  <si>
    <t>事情の有無</t>
  </si>
  <si>
    <t>直前変動率期間</t>
  </si>
  <si>
    <t>第二期</t>
  </si>
  <si>
    <t>第三期</t>
  </si>
  <si>
    <t>道路幅員</t>
  </si>
  <si>
    <t>用途地域</t>
  </si>
  <si>
    <t>売急事情</t>
  </si>
  <si>
    <t>採用容積率</t>
  </si>
  <si>
    <t>指定建蔽率</t>
  </si>
  <si>
    <t>接面状況</t>
  </si>
  <si>
    <t>画地造成補正</t>
  </si>
  <si>
    <t>【正負数混在にすると、▲側道要因が発生する】</t>
  </si>
  <si>
    <t>　</t>
  </si>
  <si>
    <t>　</t>
  </si>
  <si>
    <t xml:space="preserve"> </t>
  </si>
  <si>
    <t>期間変動率</t>
  </si>
  <si>
    <t>　</t>
  </si>
  <si>
    <t>公共施設名</t>
  </si>
  <si>
    <t>事例地番実数</t>
  </si>
  <si>
    <t>（各事例資料等の詳細は別紙３-3以下を参照のこと。）</t>
  </si>
  <si>
    <t>期間変動率</t>
  </si>
  <si>
    <t xml:space="preserve"> </t>
  </si>
  <si>
    <t>１㎡当単価</t>
  </si>
  <si>
    <t>標準画地価格＝１㎡当単価÷個別格差補正率</t>
  </si>
  <si>
    <t>(年率換算)</t>
  </si>
  <si>
    <t>過大補正開始</t>
  </si>
  <si>
    <t>（標準間口）</t>
  </si>
  <si>
    <t>過小補正開始</t>
  </si>
  <si>
    <t>（標準奥行）</t>
  </si>
  <si>
    <t>限界値</t>
  </si>
  <si>
    <t>価格の選択</t>
  </si>
  <si>
    <t>更地価格等補正</t>
  </si>
  <si>
    <t>建物価格</t>
  </si>
  <si>
    <t>建物単価</t>
  </si>
  <si>
    <t>その他価格</t>
  </si>
  <si>
    <t>最寄駅等名称</t>
  </si>
  <si>
    <t>採否決定</t>
  </si>
  <si>
    <t>　</t>
  </si>
  <si>
    <t>岐阜市大黒町３丁目２番</t>
  </si>
  <si>
    <t>採用した時点修正率の詳細</t>
  </si>
  <si>
    <t>因の比較</t>
  </si>
  <si>
    <t>交通接近条件１</t>
  </si>
  <si>
    <t>（有・通常）</t>
  </si>
  <si>
    <t>商業</t>
  </si>
  <si>
    <t>近隣商業地域</t>
  </si>
  <si>
    <t>一低専</t>
  </si>
  <si>
    <t>用途多様性</t>
  </si>
  <si>
    <t>評価対象地</t>
  </si>
  <si>
    <t>更地</t>
  </si>
  <si>
    <t>　ｎ（ｂ）：設備の経済的耐用年数</t>
  </si>
  <si>
    <t>（条　件）</t>
  </si>
  <si>
    <t>　比　　　準　　　格　　　差</t>
  </si>
  <si>
    <t>※例・１ヶ月＝１、半月＝０．５</t>
  </si>
  <si>
    <t>（7）</t>
  </si>
  <si>
    <t>岐阜 7- 5</t>
  </si>
  <si>
    <t>別紙４ 土地価格比準表</t>
  </si>
  <si>
    <t>の判定理由</t>
  </si>
  <si>
    <t>（５）貸　倒　準　備　費</t>
  </si>
  <si>
    <t>賃料（円）</t>
  </si>
  <si>
    <t>権利金月数</t>
  </si>
  <si>
    <t>月率変動率</t>
  </si>
  <si>
    <t>岐阜市野一色６丁目９番４外</t>
  </si>
  <si>
    <t>野一色６－９－５</t>
  </si>
  <si>
    <t>地質・地勢</t>
  </si>
  <si>
    <t>　（注）次頁以下、格差比準表記載に記載する評点は対象地個別格差率及び事例地標準化補正率は土地価格比準表により求められる格差率である。</t>
  </si>
  <si>
    <t>　（注）同じく地域格差率は、細項目評点の相対格差率の相乗値である。</t>
  </si>
  <si>
    <t>岐阜（県）  -13</t>
  </si>
  <si>
    <t>建物総額Ａ</t>
  </si>
  <si>
    <t>※９９９%は限界値の意味。変更不可</t>
  </si>
  <si>
    <t>（８）その他の費用</t>
  </si>
  <si>
    <t>経過日数</t>
  </si>
  <si>
    <t>周辺状況</t>
  </si>
  <si>
    <t>　保証金等により十分担保されているので計上しない。</t>
  </si>
  <si>
    <t>セットバック有無</t>
  </si>
  <si>
    <t>セットバック面積</t>
  </si>
  <si>
    <t>（１）建物等の初期投資額</t>
  </si>
  <si>
    <t>＝(P)</t>
  </si>
  <si>
    <t>嫌悪施設</t>
  </si>
  <si>
    <t>グラフ用データ</t>
  </si>
  <si>
    <t>接面道幅員</t>
  </si>
  <si>
    <t>商業施設評点</t>
  </si>
  <si>
    <t>（1）</t>
  </si>
  <si>
    <t>岐阜市長森本町１丁目１８番２０</t>
  </si>
  <si>
    <t>外階段である。</t>
  </si>
  <si>
    <t>Ｗ＝20年</t>
  </si>
  <si>
    <t>Ｗ＝90％</t>
  </si>
  <si>
    <t>入力・５</t>
  </si>
  <si>
    <t>二住居</t>
  </si>
  <si>
    <t>第二種住居地域</t>
  </si>
  <si>
    <t>準住居</t>
  </si>
  <si>
    <t>名鉄美濃町線野一色駅</t>
  </si>
  <si>
    <t>岐阜  -16</t>
  </si>
  <si>
    <t>簡易ガス</t>
  </si>
  <si>
    <t>引込可能</t>
  </si>
  <si>
    <t>間口(ｍ)</t>
  </si>
  <si>
    <t>第二種中高層住居専用地域</t>
  </si>
  <si>
    <t>事例番号</t>
  </si>
  <si>
    <t>採用変動率</t>
  </si>
  <si>
    <t>標準値=0</t>
  </si>
  <si>
    <t>画地形状</t>
  </si>
  <si>
    <t>南東</t>
  </si>
  <si>
    <t>（６）未収入期間を考慮した土地に帰属する純収益</t>
  </si>
  <si>
    <t>計算結果転写位置</t>
  </si>
  <si>
    <t>他の画地要因</t>
  </si>
  <si>
    <t>格差数値</t>
  </si>
  <si>
    <t>標準=１</t>
  </si>
  <si>
    <t>最寄駅等の距離</t>
  </si>
  <si>
    <t>主街路の</t>
  </si>
  <si>
    <t>※100%は限界値の意味。変更不可</t>
  </si>
  <si>
    <t>区分</t>
  </si>
  <si>
    <t>用途指定無し</t>
  </si>
  <si>
    <t>決定比準価格</t>
  </si>
  <si>
    <t>評価総額</t>
  </si>
  <si>
    <t>行政的条件３</t>
  </si>
  <si>
    <t>行政的条件４</t>
  </si>
  <si>
    <t>指定建ぺい率</t>
  </si>
  <si>
    <t>項　　　　　目</t>
  </si>
  <si>
    <t>実額・査定額</t>
  </si>
  <si>
    <t>※土地課税額を推定する場合</t>
  </si>
  <si>
    <t>推定額採否</t>
  </si>
  <si>
    <t>※通常は１が入力されている。</t>
  </si>
  <si>
    <t>指定容積率</t>
  </si>
  <si>
    <t>居住快適性等</t>
  </si>
  <si>
    <t>時点修正率の内訳</t>
  </si>
  <si>
    <t>設備部分</t>
  </si>
  <si>
    <t>　規準した標準地等番号及び所在地等</t>
  </si>
  <si>
    <t>収益加重比</t>
  </si>
  <si>
    <t>試算一覧</t>
  </si>
  <si>
    <t>直前公示等基準日～価格時点</t>
  </si>
  <si>
    <t>※直前の公示or調査基準日を基礎に期間を区分する。</t>
  </si>
  <si>
    <t>直前公示等基準日の前１年間</t>
  </si>
  <si>
    <t>算　　　出　　　根　　　拠</t>
  </si>
  <si>
    <t>（建物）</t>
  </si>
  <si>
    <t>奥　　行</t>
  </si>
  <si>
    <t>4</t>
  </si>
  <si>
    <t>都計外</t>
  </si>
  <si>
    <t>町丁目・字</t>
  </si>
  <si>
    <t>地番</t>
  </si>
  <si>
    <t>最有効使用</t>
  </si>
  <si>
    <t>幅　員</t>
  </si>
  <si>
    <t>北東</t>
  </si>
  <si>
    <t>間口狭小</t>
  </si>
  <si>
    <t>距離区分ｅ</t>
  </si>
  <si>
    <t>作成比準表の用途</t>
  </si>
  <si>
    <t>側道Ａの幅員</t>
  </si>
  <si>
    <t>区分</t>
  </si>
  <si>
    <t>未収入期間補正率</t>
  </si>
  <si>
    <t>岐阜市大字日野字御城手２６８番１外２筆</t>
  </si>
  <si>
    <t>岐阜市蔵前２丁目３番８</t>
  </si>
  <si>
    <t>土地公租公課</t>
  </si>
  <si>
    <t>※直前基準日は調査基準日もしくは公示基準日</t>
  </si>
  <si>
    <t>現況地目</t>
  </si>
  <si>
    <t>　ｇ：賃料の変動率</t>
  </si>
  <si>
    <t>建物格差</t>
  </si>
  <si>
    <t>補正支払賃料</t>
  </si>
  <si>
    <t>アスファルト</t>
  </si>
  <si>
    <t>農道</t>
  </si>
  <si>
    <t>最有効使用の判定</t>
  </si>
  <si>
    <t>５　土地に帰属する純収益</t>
  </si>
  <si>
    <t>奥行短小</t>
  </si>
  <si>
    <t>0～6,標準=2</t>
  </si>
  <si>
    <t>補正率・α</t>
  </si>
  <si>
    <t>【時点修正率の計算】</t>
  </si>
  <si>
    <t>傾斜度有無</t>
  </si>
  <si>
    <t>規模公簿</t>
  </si>
  <si>
    <t>基準日後日数</t>
  </si>
  <si>
    <t>同、前々１年間</t>
  </si>
  <si>
    <t>同、前々々１年間</t>
  </si>
  <si>
    <t>　（注）前頁、比準価格試算過程の内（画地造成）の項は、標準地と種類を異にする既存宅地や現況農地の補正に関する項である。</t>
  </si>
  <si>
    <t>　（注）地価公示価格等からの規準においても同様であり、標準地等と評価対象地が種類を異にする場合に補正を行う。</t>
  </si>
  <si>
    <t>【鑑定評価基本事項の入力と確認】</t>
  </si>
  <si>
    <t>建付地</t>
  </si>
  <si>
    <t>　　　各区分間の実際距離は右の表に示す距離である。</t>
  </si>
  <si>
    <t>規準結果ーＡ</t>
  </si>
  <si>
    <t>個別的要因調査表</t>
  </si>
  <si>
    <t>画地条件</t>
  </si>
  <si>
    <t>奥行</t>
  </si>
  <si>
    <t>比準価格</t>
  </si>
  <si>
    <t>比準調整率</t>
  </si>
  <si>
    <t>岐阜 5-15</t>
  </si>
  <si>
    <t>経費率</t>
  </si>
  <si>
    <t>３　基本利率等</t>
  </si>
  <si>
    <t>前面道路</t>
  </si>
  <si>
    <t>×</t>
  </si>
  <si>
    <t>岐阜市水海道３丁目１６番１０</t>
  </si>
  <si>
    <t>岐阜  -13</t>
  </si>
  <si>
    <t>（％）</t>
  </si>
  <si>
    <t>支払賃料（円）</t>
  </si>
  <si>
    <t>形　　状</t>
  </si>
  <si>
    <t>基準建蔽率</t>
  </si>
  <si>
    <t>地積過大</t>
  </si>
  <si>
    <t>Ｗ　＝120,000</t>
  </si>
  <si>
    <t>同・躯体償還率</t>
  </si>
  <si>
    <t>建付減価</t>
  </si>
  <si>
    <t>補正後価格</t>
  </si>
  <si>
    <t>岐阜市日野西２丁目４番１４</t>
  </si>
  <si>
    <t>距　離</t>
  </si>
  <si>
    <t>※近隣地域の標準的街路条件を設定して比準する手法は、計算の相乗効果発生や判断の曖昧さ排除の観点から採用しない。</t>
  </si>
  <si>
    <t>名鉄美濃町線日野橋</t>
  </si>
  <si>
    <t>基準容積率</t>
  </si>
  <si>
    <t>変動率の判定期間は、地価公示や地価調査に準拠して上記の通り区分する。</t>
  </si>
  <si>
    <t>容積率計算</t>
  </si>
  <si>
    <t>指定容積率</t>
  </si>
  <si>
    <t>最寄駅等の距離</t>
  </si>
  <si>
    <t>商業施設名</t>
  </si>
  <si>
    <t>名鉄美濃町線田神駅</t>
  </si>
  <si>
    <t>商業地域</t>
  </si>
  <si>
    <t>工専</t>
  </si>
  <si>
    <t>工業専用地域</t>
  </si>
  <si>
    <t>工業</t>
  </si>
  <si>
    <t>　の比較</t>
  </si>
  <si>
    <t>所在地</t>
  </si>
  <si>
    <t>一住居</t>
  </si>
  <si>
    <t>　※総収益に査定率を乗じる。</t>
  </si>
  <si>
    <t>画地区分</t>
  </si>
  <si>
    <t>画地番号</t>
  </si>
  <si>
    <t>適用地区</t>
  </si>
  <si>
    <t>※各項とも上段網掛けは現実の利用状況を、下段には最有効使用の状況を記入</t>
  </si>
  <si>
    <t>南西</t>
  </si>
  <si>
    <t>（やや優る）</t>
  </si>
  <si>
    <t>対象不動産・純収益算定内訳書（直接法）</t>
  </si>
  <si>
    <t>準工業地域</t>
  </si>
  <si>
    <t>傾斜度</t>
  </si>
  <si>
    <t>月額駐車料</t>
  </si>
  <si>
    <t>系統及び連続性</t>
  </si>
  <si>
    <t>環境劣る</t>
  </si>
  <si>
    <t>不整形</t>
  </si>
  <si>
    <t>(5)×未収入期間を考慮した補正率</t>
  </si>
  <si>
    <t>環境条件５</t>
  </si>
  <si>
    <t>ＬＳ＝90％</t>
  </si>
  <si>
    <t>（0.5～1％）</t>
  </si>
  <si>
    <t>耐用年数</t>
  </si>
  <si>
    <t>利用現況</t>
  </si>
  <si>
    <t>土地課税額</t>
  </si>
  <si>
    <t>※正常価格は本年メモ価格</t>
  </si>
  <si>
    <t>躯体耐用年数</t>
  </si>
  <si>
    <t>ＬＳ＝25年</t>
  </si>
  <si>
    <t>岐阜 5-36</t>
  </si>
  <si>
    <t>同、支払賃料</t>
  </si>
  <si>
    <t>最大駐車台数</t>
  </si>
  <si>
    <t>接近条件</t>
  </si>
  <si>
    <t>第二種低層住居専用地域</t>
  </si>
  <si>
    <t>一中専</t>
  </si>
  <si>
    <t>所在地番</t>
  </si>
  <si>
    <t>圏域中心距離</t>
  </si>
  <si>
    <t>JR高山線長森駅</t>
  </si>
  <si>
    <t>ＬＳ＝125,000</t>
  </si>
  <si>
    <t>同・設備償還率</t>
  </si>
  <si>
    <t>事　例</t>
  </si>
  <si>
    <t>街路条件１</t>
  </si>
  <si>
    <t>街路条件２</t>
  </si>
  <si>
    <t>側道Ａの方位</t>
  </si>
  <si>
    <t>接面街路方位</t>
  </si>
  <si>
    <t>標準化補正率</t>
  </si>
  <si>
    <t>標準地価格</t>
  </si>
  <si>
    <t>（10）保証金等の運用益</t>
  </si>
  <si>
    <t>（２）元利逓増償還率</t>
  </si>
  <si>
    <t>取引事例番号１</t>
  </si>
  <si>
    <t>（標準画地としての価格）</t>
  </si>
  <si>
    <t xml:space="preserve">   　ｍ　　：未収入期間</t>
  </si>
  <si>
    <t>他行政的条件名</t>
  </si>
  <si>
    <t>他行政的条件格差</t>
  </si>
  <si>
    <t>距離区分ａ</t>
  </si>
  <si>
    <t>距離区分ｂ</t>
  </si>
  <si>
    <t>距離区分ｃ</t>
  </si>
  <si>
    <t>距離区分ｄ</t>
  </si>
  <si>
    <t>東　　側</t>
  </si>
  <si>
    <t>南　　側</t>
  </si>
  <si>
    <t>西　　側</t>
  </si>
  <si>
    <t>　</t>
  </si>
  <si>
    <t>対象不動産の現況にかかわらず、対象地の収益力判定の</t>
  </si>
  <si>
    <t>地勢・地質・　　地盤等の良否</t>
  </si>
  <si>
    <t>商業施設</t>
  </si>
  <si>
    <t>商店街距離</t>
  </si>
  <si>
    <t>比準平均値</t>
  </si>
  <si>
    <t>重視平均値</t>
  </si>
  <si>
    <t>躯体割合</t>
  </si>
  <si>
    <t>基準階実質賃料</t>
  </si>
  <si>
    <t>岐阜（県） 5- 7</t>
  </si>
  <si>
    <t>補修正</t>
  </si>
  <si>
    <t>公共施設等　　　との接近性</t>
  </si>
  <si>
    <t>基準実質賃料</t>
  </si>
  <si>
    <t>※99999ｍは限界値の意味、変更不可</t>
  </si>
  <si>
    <t>最有効使用の</t>
  </si>
  <si>
    <t xml:space="preserve"> </t>
  </si>
  <si>
    <t>街路高低差</t>
  </si>
  <si>
    <t>水　　道</t>
  </si>
  <si>
    <t>　</t>
  </si>
  <si>
    <t>　</t>
  </si>
  <si>
    <t>【画地について】</t>
  </si>
  <si>
    <t>　　</t>
  </si>
  <si>
    <t>「日野東２丁目８番６号」</t>
  </si>
  <si>
    <t>鉄美濃町線日野橋</t>
  </si>
  <si>
    <t>岐阜（県）  -34</t>
  </si>
  <si>
    <t>有効面積</t>
  </si>
  <si>
    <t>月額支払</t>
  </si>
  <si>
    <t>保証金月数</t>
  </si>
  <si>
    <t>保証金等</t>
  </si>
  <si>
    <t>土地価格比準表</t>
  </si>
  <si>
    <t>月額支払い賃料の算出根拠</t>
  </si>
  <si>
    <t>事情有無</t>
  </si>
  <si>
    <t>日照通風</t>
  </si>
  <si>
    <t>地質地勢</t>
  </si>
  <si>
    <t>接面高低差</t>
  </si>
  <si>
    <t>接面方位</t>
  </si>
  <si>
    <t>他画地条件名</t>
  </si>
  <si>
    <t>他画地条件格差</t>
  </si>
  <si>
    <t>岐阜  -31</t>
  </si>
  <si>
    <t>岐阜市花月町２丁目４番３</t>
  </si>
  <si>
    <t>岐阜市岩滝東２丁目２４４番外２筆</t>
  </si>
  <si>
    <t>蘇原</t>
  </si>
  <si>
    <t>地　　積</t>
  </si>
  <si>
    <t>RC＝80～75％</t>
  </si>
  <si>
    <t>建物再調達原価</t>
  </si>
  <si>
    <t>設備耐用年数</t>
  </si>
  <si>
    <t>Ｓ＝30年</t>
  </si>
  <si>
    <t>Ｓ＝80％</t>
  </si>
  <si>
    <t>日野南３－３－１２</t>
  </si>
  <si>
    <t>下　水　道</t>
  </si>
  <si>
    <t>地積過小</t>
  </si>
  <si>
    <t>街路方位</t>
  </si>
  <si>
    <t>地　積</t>
  </si>
  <si>
    <t>公示価格等</t>
  </si>
  <si>
    <t>標準＝4</t>
  </si>
  <si>
    <t>要因入力</t>
  </si>
  <si>
    <t>数値入力</t>
  </si>
  <si>
    <t>特になし</t>
  </si>
  <si>
    <t>主街路種別</t>
  </si>
  <si>
    <t>判定値</t>
  </si>
  <si>
    <t>第一種低層住居専用地域</t>
  </si>
  <si>
    <t>二低専</t>
  </si>
  <si>
    <t>基礎資料として、賃貸建物の建設を想定する。</t>
  </si>
  <si>
    <t>ﾚﾝﾀﾌﾞﾙ比理由</t>
  </si>
  <si>
    <t>（限界値）</t>
  </si>
  <si>
    <t>その１</t>
  </si>
  <si>
    <t>独自比準価格</t>
  </si>
  <si>
    <t>特に不整形</t>
  </si>
  <si>
    <t>不整形地</t>
  </si>
  <si>
    <t>事情補正</t>
  </si>
  <si>
    <t>時点修正</t>
  </si>
  <si>
    <t>5</t>
  </si>
  <si>
    <t>6</t>
  </si>
  <si>
    <t>　※建物の初期投資額に査定率を乗じる。</t>
  </si>
  <si>
    <t>判定理由</t>
  </si>
  <si>
    <t>経過した期間の表示</t>
  </si>
  <si>
    <t>コード番号</t>
  </si>
  <si>
    <t>格差数値</t>
  </si>
  <si>
    <t>行政条件</t>
  </si>
  <si>
    <t>事情の内容</t>
  </si>
  <si>
    <t>商業施設の距離</t>
  </si>
  <si>
    <t>公共施設の距離</t>
  </si>
  <si>
    <t>圏域中心の距離</t>
  </si>
  <si>
    <t>１２字程度</t>
  </si>
  <si>
    <t>区　分</t>
  </si>
  <si>
    <t>個別格差</t>
  </si>
  <si>
    <t>標準化補正</t>
  </si>
  <si>
    <t>地域格差</t>
  </si>
  <si>
    <t>※建物再調達原価の課税補正率</t>
  </si>
  <si>
    <t>取引時点</t>
  </si>
  <si>
    <t>取引価格</t>
  </si>
  <si>
    <t>取引事例番号２</t>
  </si>
  <si>
    <t>総額</t>
  </si>
  <si>
    <t>土地価格</t>
  </si>
  <si>
    <t>土地単価</t>
  </si>
  <si>
    <t>（１）修　　　繕　　　費</t>
  </si>
  <si>
    <t>（11）権利金等の運用益</t>
  </si>
  <si>
    <t>償却年数</t>
  </si>
  <si>
    <t xml:space="preserve"> 運用利回り</t>
  </si>
  <si>
    <t>（優　　る）</t>
  </si>
  <si>
    <t>　</t>
  </si>
  <si>
    <t>下水道</t>
  </si>
  <si>
    <t>都市ガス</t>
  </si>
  <si>
    <t>側道Ｃ幅員【幅員による側道等加算率補正】</t>
  </si>
  <si>
    <t>（要因細項目）</t>
  </si>
  <si>
    <t>ｺｰﾄﾞ</t>
  </si>
  <si>
    <t>評点</t>
  </si>
  <si>
    <t>１　総収益算出内訳</t>
  </si>
  <si>
    <t>　調整率は市場動向や対象地の</t>
  </si>
  <si>
    <t>圏域中心の距離</t>
  </si>
  <si>
    <t>類　　型</t>
  </si>
  <si>
    <t>交通接近条件３距離</t>
  </si>
  <si>
    <t>交通接近条件４距離</t>
  </si>
  <si>
    <t>交通接近条件５</t>
  </si>
  <si>
    <t>近隣地域合計評点（相乗値）</t>
  </si>
  <si>
    <t>鑑定評価額</t>
  </si>
  <si>
    <t>公示時点</t>
  </si>
  <si>
    <t>※比準価格の査定</t>
  </si>
  <si>
    <t>準側道の幅員</t>
  </si>
  <si>
    <t>国道</t>
  </si>
  <si>
    <t>有り</t>
  </si>
  <si>
    <t>(利用しない)</t>
  </si>
  <si>
    <t>都計線引</t>
  </si>
  <si>
    <t>（普　　通）</t>
  </si>
  <si>
    <t>　収益性を検討して査定する。</t>
  </si>
  <si>
    <t>事　情</t>
  </si>
  <si>
    <t>物件番号</t>
  </si>
  <si>
    <t>種別</t>
  </si>
  <si>
    <t>岐阜市岩地２丁目１番５</t>
  </si>
  <si>
    <t>先頭頁番号</t>
  </si>
  <si>
    <t>接面２幅員</t>
  </si>
  <si>
    <t>環境その他</t>
  </si>
  <si>
    <t>（単価）</t>
  </si>
  <si>
    <t>修繕費率</t>
  </si>
  <si>
    <t>地積・間口・　　奥行・形状等</t>
  </si>
  <si>
    <t>水海道３－１６－１５</t>
  </si>
  <si>
    <t>側道Ｂ幅員</t>
  </si>
  <si>
    <t>無道路袋地補正</t>
  </si>
  <si>
    <t>相対格差</t>
  </si>
  <si>
    <t>接面２舗装</t>
  </si>
  <si>
    <t>接面３方位</t>
  </si>
  <si>
    <t>接面３幅員</t>
  </si>
  <si>
    <t>対象地1～5</t>
  </si>
  <si>
    <t>Ｓ　＝140,000</t>
  </si>
  <si>
    <t>ＲＣ＝175,000</t>
  </si>
  <si>
    <t>SRC=200,000</t>
  </si>
  <si>
    <t>コード</t>
  </si>
  <si>
    <t>（2）</t>
  </si>
  <si>
    <t>取引単価</t>
  </si>
  <si>
    <t>個別道路幅員</t>
  </si>
  <si>
    <t>（３）建物等に帰属する純収益</t>
  </si>
  <si>
    <t>別紙３の2</t>
  </si>
  <si>
    <t>　</t>
  </si>
  <si>
    <t>対象地番号</t>
  </si>
  <si>
    <t>時点修正率計算の明細式</t>
  </si>
  <si>
    <t>画地の形状</t>
  </si>
  <si>
    <t>奥行逓減</t>
  </si>
  <si>
    <t>他街路条件名</t>
  </si>
  <si>
    <t>他街路条件格差</t>
  </si>
  <si>
    <t>（都市計画）</t>
  </si>
  <si>
    <t>階　層</t>
  </si>
  <si>
    <t>幅 員 等</t>
  </si>
  <si>
    <t>変更不可事項</t>
  </si>
  <si>
    <t>基本事項</t>
  </si>
  <si>
    <t>試算結果</t>
  </si>
  <si>
    <t>規模実測</t>
  </si>
  <si>
    <t>検討規模</t>
  </si>
  <si>
    <t>規模私道</t>
  </si>
  <si>
    <t>間口・奥行比</t>
  </si>
  <si>
    <t>(地域要因)</t>
  </si>
  <si>
    <t>　　　　（9）+（10）+（11）+（12）</t>
  </si>
  <si>
    <t>（</t>
  </si>
  <si>
    <t>借地権</t>
  </si>
  <si>
    <t>個別交通接近</t>
  </si>
  <si>
    <t>個別環境条件</t>
  </si>
  <si>
    <t>接面関係</t>
  </si>
  <si>
    <t>土地価格の試算表</t>
  </si>
  <si>
    <t>駅距離評点</t>
  </si>
  <si>
    <t>公共施設評点</t>
  </si>
  <si>
    <t>圏域距離評点</t>
  </si>
  <si>
    <t>×────</t>
  </si>
  <si>
    <t>貸家建付地</t>
  </si>
  <si>
    <t>　　　　　　（駐車場使用料等）</t>
  </si>
  <si>
    <t>接面１幅員</t>
  </si>
  <si>
    <t>接面１舗装</t>
  </si>
  <si>
    <t>接面２方位</t>
  </si>
  <si>
    <t>（4）</t>
  </si>
  <si>
    <t>（5）</t>
  </si>
  <si>
    <t>（6）</t>
  </si>
  <si>
    <t>補正実質賃料</t>
  </si>
  <si>
    <t>街路の方位</t>
  </si>
  <si>
    <t>（６）空室等による損失相当額</t>
  </si>
  <si>
    <t>　※総収益に査定月数を乗じる。</t>
  </si>
  <si>
    <t>特定道迄距離</t>
  </si>
  <si>
    <t>床面積</t>
  </si>
  <si>
    <t>【環境条件・供給処理施設について】</t>
  </si>
  <si>
    <t>賃　料</t>
  </si>
  <si>
    <t>実　質　賃　料</t>
  </si>
  <si>
    <t>都計区分</t>
  </si>
  <si>
    <t>元利逓増償還率</t>
  </si>
  <si>
    <t>建物直接原価</t>
  </si>
  <si>
    <t>敷地利用権</t>
  </si>
  <si>
    <t>側道Ｃの幅員</t>
  </si>
  <si>
    <t>地勢・地質・地盤</t>
  </si>
  <si>
    <t>【印刷枠外であるが、比準には使用する部分】</t>
  </si>
  <si>
    <t>建付減価スラッシュ</t>
  </si>
  <si>
    <t>(角地等補正基準)</t>
  </si>
  <si>
    <t>村道</t>
  </si>
  <si>
    <t>未舗装</t>
  </si>
  <si>
    <t>私道</t>
  </si>
  <si>
    <t>（やや劣る）</t>
  </si>
  <si>
    <t>防火規制他</t>
  </si>
  <si>
    <t>その他規制</t>
  </si>
  <si>
    <t>その他の条件</t>
  </si>
  <si>
    <t>（極端劣る）</t>
  </si>
  <si>
    <t>準角地</t>
  </si>
  <si>
    <t>（１）総　　収　　益</t>
  </si>
  <si>
    <t>主街路の高低差</t>
  </si>
  <si>
    <t>岐阜市大字日野字御城手２６８番１外</t>
  </si>
  <si>
    <t>普通</t>
  </si>
  <si>
    <t>岐阜（県）  -43</t>
  </si>
  <si>
    <t>公共施設</t>
  </si>
  <si>
    <t>側道等幅員</t>
  </si>
  <si>
    <t>容積率</t>
  </si>
  <si>
    <t>商業繁華性等</t>
  </si>
  <si>
    <t>建蔽率</t>
  </si>
  <si>
    <t>7</t>
  </si>
  <si>
    <t>8</t>
  </si>
  <si>
    <t>都市ガス等</t>
  </si>
  <si>
    <t>【その他について】</t>
  </si>
  <si>
    <t>建物初期投資額</t>
  </si>
  <si>
    <t>傾斜度向き</t>
  </si>
  <si>
    <t>　画地造成補正とは、宅地に対して現況農地等、現況農地等に対して既存宅地の補正、100/画地造成補正</t>
  </si>
  <si>
    <t>事例等記号</t>
  </si>
  <si>
    <t>取壊費積立率</t>
  </si>
  <si>
    <t>建物課税率</t>
  </si>
  <si>
    <t>（１）～（８）</t>
  </si>
  <si>
    <t>※査定額入力</t>
  </si>
  <si>
    <t>上記査定理由</t>
  </si>
  <si>
    <t>画地その他</t>
  </si>
  <si>
    <t>区域区分</t>
  </si>
  <si>
    <t>収益価格の採否</t>
  </si>
  <si>
    <t>記号</t>
  </si>
  <si>
    <t>バス停距離</t>
  </si>
  <si>
    <t>町道</t>
  </si>
  <si>
    <t>バス停の距離</t>
  </si>
  <si>
    <t>側道等Ｂ</t>
  </si>
  <si>
    <t>舗装の状態</t>
  </si>
  <si>
    <t>建　物　の　利　用　状　況</t>
  </si>
  <si>
    <t>(※幹線街路距離置換)</t>
  </si>
  <si>
    <t>年賦償還率</t>
  </si>
  <si>
    <t>（２）総　　費　　用</t>
  </si>
  <si>
    <t>名鉄美濃町線琴塚駅</t>
  </si>
  <si>
    <t>岐阜  -50</t>
  </si>
  <si>
    <t>（１）×（２）</t>
  </si>
  <si>
    <t>岐阜市五坪町２５番３０</t>
  </si>
  <si>
    <t>圏域中心との　　　接近の程度</t>
  </si>
  <si>
    <t>※１・当たりの推定課税標準額</t>
  </si>
  <si>
    <t>土地課税率</t>
  </si>
  <si>
    <t>※建物課税率に同じ</t>
  </si>
  <si>
    <t>補正率</t>
  </si>
  <si>
    <t>同系統連続性</t>
  </si>
  <si>
    <t>上　水　道</t>
  </si>
  <si>
    <t>用　途</t>
  </si>
  <si>
    <t>（２）維　持　管　理　費</t>
  </si>
  <si>
    <t>還元利回り（ｒ－ｇ）</t>
  </si>
  <si>
    <t>岐阜市東栄町２丁目７番</t>
  </si>
  <si>
    <t>（有・小さい）</t>
  </si>
  <si>
    <t>（有・やや大）</t>
  </si>
  <si>
    <t>（有・大きい）</t>
  </si>
  <si>
    <t>特に優る</t>
  </si>
  <si>
    <t>施設影響無</t>
  </si>
  <si>
    <t>特に劣る</t>
  </si>
  <si>
    <t>岐阜</t>
  </si>
  <si>
    <t>【採用した取引事例地番号及び所在地等】</t>
  </si>
  <si>
    <t>（試算平均値）</t>
  </si>
  <si>
    <t>時点修正率</t>
  </si>
  <si>
    <t>交通接近条件３</t>
  </si>
  <si>
    <t>住居系</t>
  </si>
  <si>
    <t>目標物</t>
  </si>
  <si>
    <t>その他特記事項</t>
  </si>
  <si>
    <t>岐阜  -37</t>
  </si>
  <si>
    <t>（Ｄ）</t>
  </si>
  <si>
    <t>商業系</t>
  </si>
  <si>
    <t>行政的条件２</t>
  </si>
  <si>
    <t>（防　火）</t>
  </si>
  <si>
    <t>　　　距離区分ａ＝０ｍ、距離区分ｈ＝限界距離(99,999ｍ)</t>
  </si>
  <si>
    <t>備考を記載</t>
  </si>
  <si>
    <t>良</t>
  </si>
  <si>
    <t>※時点修正率の判定</t>
  </si>
  <si>
    <t>県道</t>
  </si>
  <si>
    <t>否</t>
  </si>
  <si>
    <t>用途地域及び</t>
  </si>
  <si>
    <t>査　　定　　額</t>
  </si>
  <si>
    <t>ｒ：基本利率</t>
  </si>
  <si>
    <t>その５</t>
  </si>
  <si>
    <t>二中専</t>
  </si>
  <si>
    <t>良好</t>
  </si>
  <si>
    <t>（3）</t>
  </si>
  <si>
    <t>距離区分ｆ</t>
  </si>
  <si>
    <t>事情補正率</t>
  </si>
  <si>
    <t>建付地減価</t>
  </si>
  <si>
    <t>（劣　　る）</t>
  </si>
  <si>
    <t>（相当劣る）</t>
  </si>
  <si>
    <t>（９）総費用</t>
  </si>
  <si>
    <t>　ｎ（ａ）：躯体の経済的耐用年数</t>
  </si>
  <si>
    <t>環境条件</t>
  </si>
  <si>
    <t>【価格試算の基礎データ選択・資料連番列に採用事例連番を入力する】</t>
  </si>
  <si>
    <t>判定期間変動率</t>
  </si>
  <si>
    <t>別紙３の１</t>
  </si>
  <si>
    <t>高低差格差</t>
  </si>
  <si>
    <t>その他＝1年</t>
  </si>
  <si>
    <t>ＩＤ番号</t>
  </si>
  <si>
    <t>各取引事例及び地価公示価格等の時点修正率の試算詳細は以下の通りである。</t>
  </si>
  <si>
    <t>近隣地域範囲</t>
  </si>
  <si>
    <t>商店街との　　　接近の程度</t>
  </si>
  <si>
    <t>標準=１</t>
  </si>
  <si>
    <t>画地地勢</t>
  </si>
  <si>
    <t>用途地域</t>
  </si>
  <si>
    <t>防火準防火</t>
  </si>
  <si>
    <t>維持管理費率</t>
  </si>
  <si>
    <t>賃料変動率・ｇ</t>
  </si>
  <si>
    <t>岐阜市琴塚２丁目３番４</t>
  </si>
  <si>
    <t>ほぼ正方形</t>
  </si>
  <si>
    <t>ほぼ長方形</t>
  </si>
  <si>
    <t>目標物等</t>
  </si>
  <si>
    <t>日野南３丁目３番１２号</t>
  </si>
  <si>
    <t>レンタブル比100％の理由</t>
  </si>
  <si>
    <t>奥行格差</t>
  </si>
  <si>
    <t>（特に優る）</t>
  </si>
  <si>
    <t>※９９９ｍは限界値の意味。変更不可</t>
  </si>
  <si>
    <t>地域要因</t>
  </si>
  <si>
    <t>個別的要</t>
  </si>
  <si>
    <t>公共施設距離</t>
  </si>
  <si>
    <t>圏域中心名</t>
  </si>
  <si>
    <t>圏域距離</t>
  </si>
  <si>
    <t>奥行(ｍ)</t>
  </si>
  <si>
    <t>形状</t>
  </si>
  <si>
    <t>高低差</t>
  </si>
  <si>
    <t>事情その他</t>
  </si>
  <si>
    <t>蔵前２－３－１２</t>
  </si>
  <si>
    <t>基準地</t>
  </si>
  <si>
    <t>名鉄美濃町線梅林駅</t>
  </si>
  <si>
    <t>バロー</t>
  </si>
  <si>
    <t>側道ａ幅員【幅員による側道等加算点補正率】</t>
  </si>
  <si>
    <t>側道ｂ幅員</t>
  </si>
  <si>
    <t>北西</t>
  </si>
  <si>
    <t>平均比準価格</t>
  </si>
  <si>
    <t>標準画地価格</t>
  </si>
  <si>
    <t>　本件評価に際して判定した期間毎の時点修正率は以下の通りである。</t>
  </si>
  <si>
    <t>※側道等方位評点に乗じる、幅員で区分した加算率</t>
  </si>
  <si>
    <t>【街路について】</t>
  </si>
  <si>
    <t>公法上の　　　　　規制の程度</t>
  </si>
  <si>
    <t>岐阜  - 8</t>
  </si>
  <si>
    <t>岐阜市北一色５丁目１２番５</t>
  </si>
  <si>
    <t>北一色５－１２－４</t>
  </si>
  <si>
    <t>保証金運用益</t>
  </si>
  <si>
    <t>建蔽率床面積</t>
  </si>
  <si>
    <t>時　点</t>
  </si>
  <si>
    <t>標準化</t>
  </si>
  <si>
    <t>　　　２　総費用算出内訳</t>
  </si>
  <si>
    <t>規準結果</t>
  </si>
  <si>
    <t>評価額対比率</t>
  </si>
  <si>
    <t>※評価額の査定</t>
  </si>
  <si>
    <t>コード区分</t>
  </si>
  <si>
    <t>検索コード</t>
  </si>
  <si>
    <t>（１）ー（２）</t>
  </si>
  <si>
    <t>資料番号</t>
  </si>
  <si>
    <t>別紙２の１</t>
  </si>
  <si>
    <t>岐阜 7- 2</t>
  </si>
  <si>
    <t>商業施設の距離</t>
  </si>
  <si>
    <t>（３）ー（４）</t>
  </si>
  <si>
    <t>合算の可否</t>
  </si>
  <si>
    <t>対象地地積</t>
  </si>
  <si>
    <t>柳ヶ瀬</t>
  </si>
  <si>
    <t>近鉄百貨店</t>
  </si>
  <si>
    <t>交通接近条件６</t>
  </si>
  <si>
    <t>※標準地区分とは、６次改訂比準表の備考欄参照。</t>
  </si>
  <si>
    <t>重視比準価格</t>
  </si>
  <si>
    <t>比準調整値</t>
  </si>
  <si>
    <t>事情補正</t>
  </si>
  <si>
    <t>(画地造成)</t>
  </si>
  <si>
    <t>標準地積</t>
  </si>
  <si>
    <t>間口</t>
  </si>
  <si>
    <t>奥行</t>
  </si>
  <si>
    <t>　※建物初期投資額に保険料率を乗じる。</t>
  </si>
  <si>
    <t>防火・準防火</t>
  </si>
  <si>
    <t>環境条件３</t>
  </si>
  <si>
    <t>その他の地域地区</t>
  </si>
  <si>
    <t>1</t>
  </si>
  <si>
    <t>市街化区域</t>
  </si>
  <si>
    <t>交通施設　　　　との距離</t>
  </si>
  <si>
    <t>※固定資産税率＋都市計画税率</t>
  </si>
  <si>
    <t>やや劣る</t>
  </si>
  <si>
    <t>接面街路種別</t>
  </si>
  <si>
    <t>類型</t>
  </si>
  <si>
    <t>鑑定番号</t>
  </si>
  <si>
    <t>評価市町村</t>
  </si>
  <si>
    <t>価格時点</t>
  </si>
  <si>
    <t>規準・Ａ</t>
  </si>
  <si>
    <t>加重平均値</t>
  </si>
  <si>
    <t>劣る</t>
  </si>
  <si>
    <t>接面街路幅員</t>
  </si>
  <si>
    <t>岐阜  -39</t>
  </si>
  <si>
    <t>地域格差補正</t>
  </si>
  <si>
    <t>個別格差補正</t>
  </si>
  <si>
    <t>合　　計</t>
  </si>
  <si>
    <t>補　正</t>
  </si>
  <si>
    <t>修　正</t>
  </si>
  <si>
    <t>　の修正</t>
  </si>
  <si>
    <t>備考</t>
  </si>
  <si>
    <t>側道Ａ方位</t>
  </si>
  <si>
    <t>側道Ａ幅員</t>
  </si>
  <si>
    <t>駅等迄の距離</t>
  </si>
  <si>
    <t>嫌悪施設名</t>
  </si>
  <si>
    <t>標準的使用</t>
  </si>
  <si>
    <t>規模格差</t>
  </si>
  <si>
    <t>周囲の状態</t>
  </si>
  <si>
    <t>交通接近条件</t>
  </si>
  <si>
    <t>種　別</t>
  </si>
  <si>
    <t>優る</t>
  </si>
  <si>
    <t>ｂ：設備割合（設備価格÷建物等価格）</t>
  </si>
  <si>
    <t>街路</t>
  </si>
  <si>
    <t>交通接近</t>
  </si>
  <si>
    <t>※年額年額駐車料</t>
  </si>
  <si>
    <t>岐阜市北一色８丁目１番１１</t>
  </si>
  <si>
    <t>駐車面積／台</t>
  </si>
  <si>
    <t>補正値</t>
  </si>
  <si>
    <t>土地の収益価格</t>
  </si>
  <si>
    <t>（総額）</t>
  </si>
  <si>
    <t>相当劣る</t>
  </si>
  <si>
    <t>　　</t>
  </si>
  <si>
    <t>【地価公示価格等よりの規準】</t>
  </si>
  <si>
    <t>事例等番号</t>
  </si>
  <si>
    <t>※備考　リニア比準に関する置換行は、個別の比準過程に使用する行データであり、比準表全体構成には無関係である。</t>
  </si>
  <si>
    <t>総収益の算出内訳</t>
  </si>
  <si>
    <t>計</t>
  </si>
  <si>
    <t>鑑定評価格の査定</t>
  </si>
  <si>
    <t>※その他収入合算の可否、１=合算、0=無視</t>
  </si>
  <si>
    <t>(相当劣る)</t>
  </si>
  <si>
    <t>接面３舗装</t>
  </si>
  <si>
    <t>南隣接地</t>
  </si>
  <si>
    <t>北隣接地</t>
  </si>
  <si>
    <t>基本利率・ｒ</t>
  </si>
  <si>
    <t>※レンタブル比１００％の理由</t>
  </si>
  <si>
    <t>画地現況</t>
  </si>
  <si>
    <t>（３）純　　収　　益</t>
  </si>
  <si>
    <t>岐阜市北一色８丁目１番１６号</t>
  </si>
  <si>
    <t>標準地基準階の査定賃料</t>
  </si>
  <si>
    <t>市町村名</t>
  </si>
  <si>
    <t>その他</t>
  </si>
  <si>
    <t>街路条件</t>
  </si>
  <si>
    <t>主街路幅員</t>
  </si>
  <si>
    <t>側道等Ａ</t>
  </si>
  <si>
    <t>交通接近条件５距離</t>
  </si>
  <si>
    <t>要因項目</t>
  </si>
  <si>
    <t>要因細項目</t>
  </si>
  <si>
    <t>(予備項目)</t>
  </si>
  <si>
    <t>住宅地＝5.5％、商業地6.0％</t>
  </si>
  <si>
    <t>岐阜市北一色２丁目８番１５</t>
  </si>
  <si>
    <t>　</t>
  </si>
  <si>
    <t>第一種住居地域</t>
  </si>
  <si>
    <t>公　法　上　の　規　制　等</t>
  </si>
  <si>
    <t>前面道路舗装</t>
  </si>
  <si>
    <t>道路接面</t>
  </si>
  <si>
    <t>文言１</t>
  </si>
  <si>
    <t>長森本町１丁目１８番１８号</t>
  </si>
  <si>
    <t>準側道の方位</t>
  </si>
  <si>
    <t>主街路系統連続性</t>
  </si>
  <si>
    <t>上水道</t>
  </si>
  <si>
    <t>課税推定単価</t>
  </si>
  <si>
    <t>建付減価率</t>
  </si>
  <si>
    <t>個別系統連続性</t>
  </si>
  <si>
    <t>一般住宅のほか事務所・作業所等も介在する住宅地域</t>
  </si>
  <si>
    <t>なし</t>
  </si>
  <si>
    <t>北　　側</t>
  </si>
  <si>
    <t>無指定</t>
  </si>
  <si>
    <t>事例地8～30</t>
  </si>
  <si>
    <t>(リニア比準)</t>
  </si>
  <si>
    <t>9.事情補正率は、他者の判定値の引用も可能であるが、本モデルでは独自入力する。評価書書式はこのシートのＯ列以降にある。</t>
  </si>
  <si>
    <t xml:space="preserve"> </t>
  </si>
  <si>
    <t>――― 円</t>
  </si>
  <si>
    <t>分類</t>
  </si>
  <si>
    <t>基準支払賃料</t>
  </si>
  <si>
    <t>格差評点</t>
  </si>
  <si>
    <t>都計用途地域</t>
  </si>
  <si>
    <t>用途分類</t>
  </si>
  <si>
    <t>年額支払賃料</t>
  </si>
  <si>
    <t>環境条件４</t>
  </si>
  <si>
    <t>環境条件６</t>
  </si>
  <si>
    <t>環境条件７</t>
  </si>
  <si>
    <t>環境条件８</t>
  </si>
  <si>
    <t>他環境条件名</t>
  </si>
  <si>
    <t>比準加重比</t>
  </si>
  <si>
    <t>規準地6～7</t>
  </si>
  <si>
    <t>採用事例数</t>
  </si>
  <si>
    <t>危険施設道路距離</t>
  </si>
  <si>
    <t>(リニア比準置換行)標</t>
  </si>
  <si>
    <t>地質地盤地勢</t>
  </si>
  <si>
    <t>ガス</t>
  </si>
  <si>
    <t>公共下水道</t>
  </si>
  <si>
    <t>危険施設状態</t>
  </si>
  <si>
    <t>所有者</t>
  </si>
  <si>
    <t>地目</t>
  </si>
  <si>
    <t>間口格差</t>
  </si>
  <si>
    <t>（円）</t>
  </si>
  <si>
    <t>危険施設名</t>
  </si>
  <si>
    <t>危険施設距離</t>
  </si>
  <si>
    <t>商業繁華性</t>
  </si>
  <si>
    <t>岐阜市日野東２丁目８番４</t>
  </si>
  <si>
    <t>標準値=2</t>
  </si>
  <si>
    <t>間　口</t>
  </si>
  <si>
    <t>標準地区分</t>
  </si>
  <si>
    <t>奥　行</t>
  </si>
  <si>
    <t>※賃料変動率＝住宅地0.5％、商業地1.0％</t>
  </si>
  <si>
    <t>未収入期間</t>
  </si>
  <si>
    <t>ＷとＳ－２＝0.5年</t>
  </si>
  <si>
    <t>居住快適性</t>
  </si>
  <si>
    <t>名鉄美濃町線日</t>
  </si>
  <si>
    <t>（13）総　　収　　益</t>
  </si>
  <si>
    <t>接面格差</t>
  </si>
  <si>
    <t>個性率・標準化補正</t>
  </si>
  <si>
    <t>市街化調整区域</t>
  </si>
  <si>
    <t>推定価格</t>
  </si>
  <si>
    <t>日照・通風・乾湿</t>
  </si>
  <si>
    <t>岐阜市本荘中ノ町５丁目２９番外</t>
  </si>
  <si>
    <t>ＲＣ＝40年</t>
  </si>
  <si>
    <t>やや不整形</t>
  </si>
  <si>
    <t>重視事例の平均値計算</t>
  </si>
  <si>
    <t>中間画地</t>
  </si>
  <si>
    <t>(方位加算点)</t>
  </si>
  <si>
    <t>日照・通風・　　　乾湿等の良否</t>
  </si>
  <si>
    <t>（４）損　害　保　険　料</t>
  </si>
  <si>
    <t>基本利率等</t>
  </si>
  <si>
    <t>工業地域</t>
  </si>
  <si>
    <t>準工業</t>
  </si>
  <si>
    <t>近隣商業</t>
  </si>
  <si>
    <t>土地種別</t>
  </si>
  <si>
    <t>(個別的要因)</t>
  </si>
  <si>
    <t>行政</t>
  </si>
  <si>
    <t>評価単価</t>
  </si>
  <si>
    <t>独自査定値</t>
  </si>
  <si>
    <t>１２字程度</t>
  </si>
  <si>
    <t>備考欄</t>
  </si>
  <si>
    <t>西</t>
  </si>
  <si>
    <t>無道路地評点</t>
  </si>
  <si>
    <t>収益価格・直接法モデル</t>
  </si>
  <si>
    <t>※現実の利用</t>
  </si>
  <si>
    <t>変動率判定期間以上経過の過去事例については、第四期変動率に準じて算定する。</t>
  </si>
  <si>
    <t>基準日以後の経過日数</t>
  </si>
  <si>
    <t>非加重</t>
  </si>
  <si>
    <t>事情補正・時点修正率</t>
  </si>
  <si>
    <t>検索関数有り</t>
  </si>
  <si>
    <t>保証金運用率</t>
  </si>
  <si>
    <t>比準価格×調整率</t>
  </si>
  <si>
    <t>予備欄</t>
  </si>
  <si>
    <t>権利金運用率</t>
  </si>
  <si>
    <t>行政的条件５</t>
  </si>
  <si>
    <t>系統連続性</t>
  </si>
  <si>
    <t>類型区分</t>
  </si>
  <si>
    <t>水道</t>
  </si>
  <si>
    <t>※最有効使用</t>
  </si>
  <si>
    <t>基本利率</t>
  </si>
  <si>
    <t>（最有効使用の判定）</t>
  </si>
  <si>
    <t>評価格対比率</t>
  </si>
  <si>
    <t>接面１方位</t>
  </si>
  <si>
    <t>柳ヶ瀬地区</t>
  </si>
  <si>
    <t>収益価格</t>
  </si>
  <si>
    <t>無し</t>
  </si>
  <si>
    <t>規制分類</t>
  </si>
  <si>
    <t>側道Ｂ方位</t>
  </si>
  <si>
    <t>防火規制等</t>
  </si>
  <si>
    <t>ダイエー岐阜店</t>
  </si>
  <si>
    <t>価格</t>
  </si>
  <si>
    <t>住宅地</t>
  </si>
  <si>
    <t>バローＳ.Ｃ.長良店</t>
  </si>
  <si>
    <t>長良小学校</t>
  </si>
  <si>
    <t>ユニー長良店</t>
  </si>
  <si>
    <t>一般住宅等が建ち並ぶ閑静な住宅地域</t>
  </si>
  <si>
    <t>長良有明町地内</t>
  </si>
  <si>
    <t>３丁目１－３</t>
  </si>
  <si>
    <t>側道b幅員</t>
  </si>
  <si>
    <t>接面状況</t>
  </si>
  <si>
    <t>岐阜（県） 5- 2</t>
  </si>
  <si>
    <t>有効率</t>
  </si>
  <si>
    <t>舗装</t>
  </si>
  <si>
    <t>標準=0</t>
  </si>
  <si>
    <t>ｾｯﾄﾊﾞｯｸ面積</t>
  </si>
  <si>
    <t>（Ａ）</t>
  </si>
  <si>
    <t>処理区域内</t>
  </si>
  <si>
    <t>専用水道</t>
  </si>
  <si>
    <t>処理区域外</t>
  </si>
  <si>
    <t>評点入力,無=1</t>
  </si>
  <si>
    <t>標準値＝4</t>
  </si>
  <si>
    <t>未収入期間修正後純収益</t>
  </si>
  <si>
    <t>総費用</t>
  </si>
  <si>
    <t>取引事例</t>
  </si>
  <si>
    <t>規準価格</t>
  </si>
  <si>
    <t>純収益</t>
  </si>
  <si>
    <t>土地帰属純収益</t>
  </si>
  <si>
    <t>還元利回り</t>
  </si>
  <si>
    <t>区分コード</t>
  </si>
  <si>
    <t>岐阜（県）10- 5</t>
  </si>
  <si>
    <t>都市計画区域外</t>
  </si>
  <si>
    <t>標準値=0</t>
  </si>
  <si>
    <t>　　　　　    及び償却額</t>
  </si>
  <si>
    <t>名鉄美濃町線北一色駅</t>
  </si>
  <si>
    <t>試算価格</t>
  </si>
  <si>
    <t>（Ｃ）</t>
  </si>
  <si>
    <t>岐阜市領下４丁目１０番１</t>
  </si>
  <si>
    <t>建築面積</t>
  </si>
  <si>
    <t>（自動表示）</t>
  </si>
  <si>
    <t>岐阜（県）  -37</t>
  </si>
  <si>
    <t>特にない</t>
  </si>
  <si>
    <t>長良高前停</t>
  </si>
  <si>
    <t>住宅地</t>
  </si>
  <si>
    <t>三価格加重平均</t>
  </si>
  <si>
    <t>指定建蔽率</t>
  </si>
  <si>
    <t>防火規制</t>
  </si>
  <si>
    <t>階段</t>
  </si>
  <si>
    <t>準住居地域</t>
  </si>
  <si>
    <t>別紙２の2</t>
  </si>
  <si>
    <t>別紙２の3</t>
  </si>
  <si>
    <t>別紙２の4</t>
  </si>
  <si>
    <t>別紙２の5</t>
  </si>
  <si>
    <t>側方街路の　　　方位、幅員等</t>
  </si>
  <si>
    <t>側道Ｃの方位</t>
  </si>
  <si>
    <t>間口・奥行</t>
  </si>
  <si>
    <t>建ぺい率基準</t>
  </si>
  <si>
    <t>容積率指定</t>
  </si>
  <si>
    <t>容積率基準</t>
  </si>
  <si>
    <t>画地の類型</t>
  </si>
  <si>
    <t>更=1、建=2、素=3</t>
  </si>
  <si>
    <t>主街路高低差</t>
  </si>
  <si>
    <t>予備項目</t>
  </si>
  <si>
    <t>その３</t>
  </si>
  <si>
    <t>岐阜市金園町８丁目１８番</t>
  </si>
  <si>
    <t>側道Ｂの幅員</t>
  </si>
  <si>
    <t>駐車台数</t>
  </si>
  <si>
    <t>総　収　益</t>
  </si>
  <si>
    <t>×―――</t>
  </si>
  <si>
    <t>（５）土地に帰属する純収益</t>
  </si>
  <si>
    <t>市町村コード</t>
  </si>
  <si>
    <t>価格形成要因データ票</t>
  </si>
  <si>
    <t>嫌悪施設距離</t>
  </si>
  <si>
    <t>躯体部分</t>
  </si>
  <si>
    <t>（９）年 額 支 払 賃 料</t>
  </si>
  <si>
    <t>×１２ｶ月＝</t>
  </si>
  <si>
    <t>形状格差</t>
  </si>
  <si>
    <t>（無　し）</t>
  </si>
  <si>
    <t>個別的要因の追加入力</t>
  </si>
  <si>
    <t>交通接近条件１距離</t>
  </si>
  <si>
    <t>交通接近条件２</t>
  </si>
  <si>
    <t>収益価格試算</t>
  </si>
  <si>
    <t>標準地の基準階の</t>
  </si>
  <si>
    <t>岩地２－１－５</t>
  </si>
  <si>
    <t>7.「評価書作成」シートに鑑定評価基本事項を入力して評価書を完成する。</t>
  </si>
  <si>
    <t>街路舗装</t>
  </si>
  <si>
    <t>側道a方位</t>
  </si>
  <si>
    <t>側道a幅員</t>
  </si>
  <si>
    <t>側道ｂ方位</t>
  </si>
  <si>
    <t>他交通条件格差</t>
  </si>
  <si>
    <t>袋地評点</t>
  </si>
  <si>
    <t>公示地</t>
  </si>
  <si>
    <t>名鉄美濃町線市の坪駅</t>
  </si>
  <si>
    <t>岐阜 5-25</t>
  </si>
  <si>
    <t>その６</t>
  </si>
  <si>
    <t>岐阜９－２</t>
  </si>
  <si>
    <t>第一種中高層住居専用地域</t>
  </si>
  <si>
    <t>岐阜市岩栄町１丁目３２番外</t>
  </si>
  <si>
    <t>岐阜10- 4</t>
  </si>
  <si>
    <t>　※年額支払い賃料に査定率を乗じる。</t>
  </si>
  <si>
    <t>構造・階層</t>
  </si>
  <si>
    <t>他の画地要因</t>
  </si>
  <si>
    <t>(限界値)</t>
  </si>
  <si>
    <t>都市計画区分</t>
  </si>
  <si>
    <t>（特に劣る）</t>
  </si>
  <si>
    <t>距離区分ｇ</t>
  </si>
  <si>
    <t>距離区分ｈ</t>
  </si>
  <si>
    <r>
      <t>（注）距離区分のａ</t>
    </r>
    <r>
      <rPr>
        <i/>
        <sz val="10"/>
        <rFont val="Arial"/>
        <family val="2"/>
      </rPr>
      <t>〜</t>
    </r>
    <r>
      <rPr>
        <i/>
        <sz val="10"/>
        <rFont val="平成明朝"/>
        <family val="3"/>
      </rPr>
      <t>ｈは点数区分毎の距離範囲の表示であり、</t>
    </r>
  </si>
  <si>
    <t>（備　　考）</t>
  </si>
  <si>
    <t>設計監理料率</t>
  </si>
  <si>
    <t>その他の費用</t>
  </si>
  <si>
    <t>北</t>
  </si>
  <si>
    <t>高低差区分</t>
  </si>
  <si>
    <t>長良南陽町地内</t>
  </si>
  <si>
    <t>２丁目１４－２</t>
  </si>
  <si>
    <t>長良東郷町地内</t>
  </si>
  <si>
    <t>長良東小学校</t>
  </si>
  <si>
    <t>４丁目１２</t>
  </si>
  <si>
    <t>長良仙田町地内</t>
  </si>
  <si>
    <t>１丁目３０－７外</t>
  </si>
  <si>
    <t>長良城西町地内</t>
  </si>
  <si>
    <t>２丁目３１－３外</t>
  </si>
  <si>
    <t>宅地</t>
  </si>
  <si>
    <t>ＪＲ岐阜駅</t>
  </si>
  <si>
    <t>農地・空地も介在する住宅地域</t>
  </si>
  <si>
    <t>一般住宅等が建ち並ぶ住宅地域</t>
  </si>
  <si>
    <t>※３５行目以下に対象地個別的要因の追加入力有り。個別要因印刷シートも有り。</t>
  </si>
  <si>
    <t>取引事情</t>
  </si>
  <si>
    <t>国土庁コード</t>
  </si>
  <si>
    <t>方位</t>
  </si>
  <si>
    <t>やや優る</t>
  </si>
  <si>
    <t>(リニア比準置換行)事</t>
  </si>
  <si>
    <t>東</t>
  </si>
  <si>
    <t>南</t>
  </si>
  <si>
    <t>【比準価格の試算】</t>
  </si>
  <si>
    <t>環境</t>
  </si>
  <si>
    <t>画地</t>
  </si>
  <si>
    <t>交通接近条件４</t>
  </si>
  <si>
    <t>※下段は支払い賃料</t>
  </si>
  <si>
    <t>値単位・ｍ</t>
  </si>
  <si>
    <t>角地・二方路地</t>
  </si>
  <si>
    <t>三方路地</t>
  </si>
  <si>
    <t>（劣　る）</t>
  </si>
  <si>
    <t>コード１</t>
  </si>
  <si>
    <t>その２</t>
  </si>
  <si>
    <t>標準地ﾃﾞｰﾀ</t>
  </si>
  <si>
    <t>高低差自</t>
  </si>
  <si>
    <t>高低差至</t>
  </si>
  <si>
    <t>権利金償却額</t>
  </si>
  <si>
    <t>利用容積率</t>
  </si>
  <si>
    <t>番　号</t>
  </si>
  <si>
    <t>間口</t>
  </si>
  <si>
    <t>延床面積</t>
  </si>
  <si>
    <t>構　造</t>
  </si>
  <si>
    <t>コンクリート</t>
  </si>
  <si>
    <t>林道</t>
  </si>
  <si>
    <t>区画街路</t>
  </si>
  <si>
    <t>＝</t>
  </si>
  <si>
    <t>階層</t>
  </si>
  <si>
    <t>日照・通風</t>
  </si>
  <si>
    <t>間　　口</t>
  </si>
  <si>
    <t>市道</t>
  </si>
  <si>
    <t>未利用空地</t>
  </si>
  <si>
    <t>長良高校の南方約３００ｍに位置する</t>
  </si>
  <si>
    <t>東隣接地域に土地区画整理事業が計画されている。</t>
  </si>
  <si>
    <t>戸建専用住宅用地と判定する。</t>
  </si>
  <si>
    <t>危険施設への距離</t>
  </si>
  <si>
    <t>公共施設の距離</t>
  </si>
  <si>
    <t>※建物の取壊費用の積立金、積立率</t>
  </si>
  <si>
    <t>0～6,中間=6</t>
  </si>
  <si>
    <t>建ぺい率指定</t>
  </si>
  <si>
    <t>無=0,防=1,準=2</t>
  </si>
  <si>
    <t>側道等Ｃ</t>
  </si>
  <si>
    <t>（Ｂ）</t>
  </si>
  <si>
    <t>街路条件３</t>
  </si>
  <si>
    <t>街路条件４</t>
  </si>
  <si>
    <t>街路条件５</t>
  </si>
  <si>
    <t>非線引都市計画区域</t>
  </si>
  <si>
    <t>防火地域</t>
  </si>
  <si>
    <t>3</t>
  </si>
  <si>
    <t>調整区域</t>
  </si>
  <si>
    <t>琴塚２－３－５</t>
  </si>
  <si>
    <t>町名コード</t>
  </si>
  <si>
    <t>コード表参照</t>
  </si>
  <si>
    <t>準防火地域</t>
  </si>
  <si>
    <t>　</t>
  </si>
  <si>
    <t>　</t>
  </si>
  <si>
    <t>　　</t>
  </si>
  <si>
    <t>将来動向並びに用途的展開性等</t>
  </si>
  <si>
    <t>条件</t>
  </si>
  <si>
    <t>ｺｰﾄﾞ</t>
  </si>
  <si>
    <t>（４）建物等に帰属する純収益</t>
  </si>
  <si>
    <t>その他の収入</t>
  </si>
  <si>
    <t>規準結果ーＢ</t>
  </si>
  <si>
    <t>前面道路系統</t>
  </si>
  <si>
    <t>【価格の試算・時点修正率等の入力】</t>
  </si>
  <si>
    <t>市道</t>
  </si>
  <si>
    <t>行止道</t>
  </si>
  <si>
    <t>準側道幅員【幅員による側道等加算率補正】</t>
  </si>
  <si>
    <t>行政的条件</t>
  </si>
  <si>
    <t>【宅地試算モデル・数値比準表を使用した鑑定評価モデル】</t>
  </si>
  <si>
    <t>（注）品等判定は当該近隣地域内の標準的画地との比較によるものである。</t>
  </si>
  <si>
    <t>名鉄美濃町線競輪場駅</t>
  </si>
  <si>
    <t>率１</t>
  </si>
  <si>
    <t>前面道路方位</t>
  </si>
  <si>
    <t>交通接近条件６距離</t>
  </si>
  <si>
    <t>他交通条件名</t>
  </si>
  <si>
    <t>公害施設名</t>
  </si>
  <si>
    <t>作成者</t>
  </si>
  <si>
    <t>供給処理施設　　　等の状態</t>
  </si>
  <si>
    <t>環境条件１</t>
  </si>
  <si>
    <t>環境条件２</t>
  </si>
  <si>
    <t>※収益価格について</t>
  </si>
  <si>
    <t>時点修正率の判定期間</t>
  </si>
  <si>
    <t>（試算平均）</t>
  </si>
  <si>
    <t>入力事例数</t>
  </si>
  <si>
    <t>支払賃料</t>
  </si>
  <si>
    <t>実質賃料</t>
  </si>
  <si>
    <t>４　建物等に帰属する純収益</t>
  </si>
  <si>
    <t>※角地等補正の基準値としての評点</t>
  </si>
  <si>
    <t>※原則として空欄・推定課税額算定、ただし実額が判明すれば入力する。</t>
  </si>
  <si>
    <t>建物課税比率</t>
  </si>
  <si>
    <t>【行政的条件について】</t>
  </si>
  <si>
    <t>駅迄の距離</t>
  </si>
  <si>
    <t>ａ：躯体割合（躯体価格÷建物等価格）</t>
  </si>
  <si>
    <t>上記償却年数</t>
  </si>
  <si>
    <t>JR東海道線西岐阜駅</t>
  </si>
  <si>
    <t>アピタ</t>
  </si>
  <si>
    <t>東隣接地</t>
  </si>
  <si>
    <t>西隣接地</t>
  </si>
  <si>
    <t>2.地価公示データを読み込んで使用する場合は、非表示[TAKUTI.11」データの置き換えシートが必要である。</t>
  </si>
  <si>
    <t>TXT入力</t>
  </si>
  <si>
    <t>区分地上権</t>
  </si>
  <si>
    <t>側道Ｂの方位</t>
  </si>
  <si>
    <t>底地</t>
  </si>
  <si>
    <t>地積</t>
  </si>
  <si>
    <t>四捨五入桁数</t>
  </si>
  <si>
    <t>交通接近条件２距離</t>
  </si>
  <si>
    <t>規準・Ｂ</t>
  </si>
  <si>
    <t>（12）そ の 他 の 収 入</t>
  </si>
  <si>
    <t>【収益価格の試算】</t>
  </si>
  <si>
    <t>総収益</t>
  </si>
  <si>
    <t>建物帰属純収益</t>
  </si>
  <si>
    <t>種　　別</t>
  </si>
  <si>
    <t>標準地</t>
  </si>
  <si>
    <t>種別・類型</t>
  </si>
  <si>
    <t>街路高低差</t>
  </si>
  <si>
    <t>歩道の有無</t>
  </si>
  <si>
    <t>距離区分</t>
  </si>
  <si>
    <t>歩道</t>
  </si>
</sst>
</file>

<file path=xl/styles.xml><?xml version="1.0" encoding="utf-8"?>
<styleSheet xmlns="http://schemas.openxmlformats.org/spreadsheetml/2006/main">
  <numFmts count="1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m"/>
    <numFmt numFmtId="177" formatCode="#,##0.0"/>
    <numFmt numFmtId="178" formatCode="0.0"/>
    <numFmt numFmtId="179" formatCode="#,##0.000"/>
    <numFmt numFmtId="180" formatCode="0.000"/>
    <numFmt numFmtId="181" formatCode="#,##0&quot;・&quot;"/>
    <numFmt numFmtId="182" formatCode="0.0&quot;・&quot;"/>
    <numFmt numFmtId="183" formatCode="#,##0.00&quot;・&quot;"/>
    <numFmt numFmtId="184" formatCode="0.00&quot;・&quot;"/>
    <numFmt numFmtId="185" formatCode="#,##0&quot;度&quot;"/>
    <numFmt numFmtId="186" formatCode="0/100"/>
    <numFmt numFmtId="187" formatCode="0&quot;/100&quot;"/>
    <numFmt numFmtId="188" formatCode="0.0000"/>
    <numFmt numFmtId="189" formatCode="0.00000"/>
    <numFmt numFmtId="190" formatCode="#,##0.0000"/>
    <numFmt numFmtId="191" formatCode="0.0&quot;・以上&quot;"/>
    <numFmt numFmtId="192" formatCode="0.0&quot;・未満&quot;"/>
    <numFmt numFmtId="193" formatCode="#,##0&quot;・以上&quot;"/>
    <numFmt numFmtId="194" formatCode="#,##0&quot;・未満&quot;"/>
    <numFmt numFmtId="195" formatCode="0&quot;・未満&quot;"/>
    <numFmt numFmtId="196" formatCode="0&quot;・以上&quot;"/>
    <numFmt numFmtId="197" formatCode="0&quot;・以下&quot;"/>
    <numFmt numFmtId="198" formatCode="0.00%&quot;未&quot;&quot;満&quot;"/>
    <numFmt numFmtId="199" formatCode="0%&quot;未&quot;&quot;満&quot;"/>
    <numFmt numFmtId="200" formatCode="0%&quot;以&quot;&quot;上&quot;"/>
    <numFmt numFmtId="201" formatCode="#,##0%"/>
    <numFmt numFmtId="202" formatCode="#,##0&quot;%&quot;"/>
    <numFmt numFmtId="203" formatCode="0&quot;%以上&quot;"/>
    <numFmt numFmtId="204" formatCode="0&quot;%未満&quot;"/>
    <numFmt numFmtId="205" formatCode="#,##0&quot;％&quot;"/>
    <numFmt numFmtId="206" formatCode="#,##0&quot;年&quot;"/>
    <numFmt numFmtId="207" formatCode="#,##0&quot;円&quot;&quot;／&quot;&quot;・&quot;"/>
    <numFmt numFmtId="208" formatCode="#,##0&quot;円&quot;"/>
    <numFmt numFmtId="209" formatCode="#,##0.0&quot;年&quot;"/>
    <numFmt numFmtId="210" formatCode="0.0000000"/>
    <numFmt numFmtId="211" formatCode="0.000000"/>
    <numFmt numFmtId="212" formatCode="#,##0.0&quot;・&quot;"/>
    <numFmt numFmtId="213" formatCode="0.00000000"/>
    <numFmt numFmtId="214" formatCode="gggee&quot;年&quot;m&quot;月&quot;"/>
    <numFmt numFmtId="215" formatCode="#,##0.00&quot;％&quot;"/>
    <numFmt numFmtId="216" formatCode="#,##0&quot;千円&quot;"/>
    <numFmt numFmtId="217" formatCode="\\N\\O\\,\\ 0"/>
    <numFmt numFmtId="218" formatCode="0&quot;日&quot;"/>
    <numFmt numFmtId="219" formatCode="0.0000%"/>
    <numFmt numFmtId="220" formatCode="0.0&quot;％&quot;"/>
    <numFmt numFmtId="221" formatCode="#,##0.0;\\-#,##0.0"/>
    <numFmt numFmtId="222" formatCode="#,##0.0;[Red]\\-#,##0.0"/>
    <numFmt numFmtId="223" formatCode="#,##0.000;[Red]\\-#,##0.000"/>
    <numFmt numFmtId="224" formatCode="0.0&quot;・以下&quot;"/>
    <numFmt numFmtId="225" formatCode="0&quot;度&quot;"/>
    <numFmt numFmtId="226" formatCode="0&quot;度以上&quot;"/>
    <numFmt numFmtId="227" formatCode="0.0%"/>
    <numFmt numFmtId="228" formatCode="#,##0.0&quot;・以上&quot;"/>
    <numFmt numFmtId="229" formatCode="#,##0.0&quot;・未満&quot;"/>
    <numFmt numFmtId="230" formatCode="0.0%&quot;未&quot;&quot;満&quot;"/>
    <numFmt numFmtId="231" formatCode="0.0%&quot;以&quot;&quot;上&quot;"/>
    <numFmt numFmtId="232" formatCode="0.0&quot;ｍ&quot;"/>
    <numFmt numFmtId="233" formatCode="#,##0&quot;ｍ&quot;"/>
    <numFmt numFmtId="234" formatCode="#,##0.00&quot;ｍ&quot;"/>
    <numFmt numFmtId="235" formatCode="0.0&quot;ｍ以上&quot;"/>
    <numFmt numFmtId="236" formatCode="0.0&quot;ｍ未満&quot;"/>
    <numFmt numFmtId="237" formatCode="#,##0&quot;ｍ未満&quot;"/>
    <numFmt numFmtId="238" formatCode="#,##0&quot;ｍ以上&quot;"/>
    <numFmt numFmtId="239" formatCode="#,##0.0&quot;ｍ以上&quot;"/>
    <numFmt numFmtId="240" formatCode="#,##0.0&quot;ｍ以下&quot;"/>
    <numFmt numFmtId="241" formatCode="#,##0.0&quot;ｍ未満&quot;"/>
    <numFmt numFmtId="242" formatCode="&quot;$&quot;#,##0_);\\(&quot;$&quot;#,##0\\)"/>
    <numFmt numFmtId="243" formatCode="&quot;$&quot;#,##0_);[Red]\\(&quot;$&quot;#,##0\\)"/>
    <numFmt numFmtId="244" formatCode="&quot;$&quot;#,##0.00_);\\(&quot;$&quot;#,##0.00\\)"/>
    <numFmt numFmtId="245" formatCode="&quot;$&quot;#,##0.00_);[Red]\\(&quot;$&quot;#,##0.00\\)"/>
    <numFmt numFmtId="246" formatCode="_(&quot;$&quot;* #,##0_);_(&quot;$&quot;* \\(#,##0\\);_(&quot;$&quot;* &quot;-&quot;_);_(@_)"/>
    <numFmt numFmtId="247" formatCode="_(* #,##0_);_(* \\(#,##0\\);_(* &quot;-&quot;_);_(@_)"/>
    <numFmt numFmtId="248" formatCode="_(&quot;$&quot;* #,##0.00_);_(&quot;$&quot;* \\(#,##0.00\\);_(&quot;$&quot;* &quot;-&quot;??_);_(@_)"/>
    <numFmt numFmtId="249" formatCode="_(* #,##0.00_);_(* \\(#,##0.00\\);_(* &quot;-&quot;??_);_(@_)"/>
    <numFmt numFmtId="250" formatCode="#,##0_);[Red]\\(#,##0\\)"/>
    <numFmt numFmtId="251" formatCode="0_ "/>
    <numFmt numFmtId="252" formatCode="_(* #,##0.0_);_(* \\(#,##0.0\\);_(* &quot;-&quot;_);_(@_)"/>
    <numFmt numFmtId="253" formatCode="_(* #,##0.00_);_(* \\(#,##0.00\\);_(* &quot;-&quot;_);_(@_)"/>
    <numFmt numFmtId="254" formatCode="_ * #,##0.000_ ;_ * \\-#,##0.000_ ;_ * &quot;-&quot;??_ ;_ @_ "/>
    <numFmt numFmtId="255" formatCode="_ * #,##0.0000_ ;_ * \\-#,##0.0000_ ;_ * &quot;-&quot;??_ ;_ @_ "/>
    <numFmt numFmtId="256" formatCode="_ * #,##0.00000_ ;_ * \\-#,##0.00000_ ;_ * &quot;-&quot;??_ ;_ @_ "/>
    <numFmt numFmtId="257" formatCode="_ * #,##0.000000_ ;_ * \\-#,##0.000000_ ;_ * &quot;-&quot;??_ ;_ @_ "/>
    <numFmt numFmtId="258" formatCode="_ * #,##0.0000000_ ;_ * \\-#,##0.0000000_ ;_ * &quot;-&quot;??_ ;_ @_ "/>
    <numFmt numFmtId="259" formatCode="_ * #,##0.00000000_ ;_ * \\-#,##0.00000000_ ;_ * &quot;-&quot;??_ ;_ @_ "/>
    <numFmt numFmtId="260" formatCode="0.0_);[Red]\\(0.0\\)"/>
    <numFmt numFmtId="261" formatCode="0.00_);[Red]\\(0.00\\)"/>
    <numFmt numFmtId="262" formatCode="0.00%&quot;以&quot;&quot;上&quot;"/>
    <numFmt numFmtId="263" formatCode="0.000%&quot;以&quot;&quot;上&quot;"/>
    <numFmt numFmtId="264" formatCode="0&quot;　%以上&quot;"/>
    <numFmt numFmtId="265" formatCode="0&quot;　%未満&quot;"/>
    <numFmt numFmtId="266" formatCode="#,##0.00_ "/>
    <numFmt numFmtId="267" formatCode="0.000_);[Red]\\(0.000\\)"/>
    <numFmt numFmtId="268" formatCode="0.000%"/>
    <numFmt numFmtId="269" formatCode="0.00000%"/>
    <numFmt numFmtId="270" formatCode="0.000_ "/>
    <numFmt numFmtId="271" formatCode="0&quot;・&quot;"/>
    <numFmt numFmtId="272" formatCode="0&quot;ｍ&quot;"/>
    <numFmt numFmtId="273" formatCode="0.0000_);[Red]\\(0.0000\\)"/>
    <numFmt numFmtId="274" formatCode="0.00_ "/>
    <numFmt numFmtId="275" formatCode="0.0_ "/>
    <numFmt numFmtId="276" formatCode="0.00&quot;ｍ&quot;"/>
    <numFmt numFmtId="277" formatCode="0.000000%"/>
    <numFmt numFmtId="278" formatCode="0.00000_);[Red]\\(0.00000\\)"/>
    <numFmt numFmtId="279" formatCode="0.0;&quot;▲ &quot;0.0"/>
    <numFmt numFmtId="280" formatCode="#,##0.0000;[Red]\\-#,##0.0000"/>
    <numFmt numFmtId="281" formatCode="#,##0.00000;[Red]\\-#,##0.00000"/>
    <numFmt numFmtId="282" formatCode="#,##0.000000;[Red]\\-#,##0.000000"/>
    <numFmt numFmtId="283" formatCode="#,##0&quot;号物件&quot;"/>
    <numFmt numFmtId="284" formatCode="#,##0.0&quot;ｍ&quot;"/>
    <numFmt numFmtId="285" formatCode="#,##0.0&quot;度&quot;"/>
    <numFmt numFmtId="286" formatCode="0_);[Red]\\(0\\)"/>
    <numFmt numFmtId="287" formatCode="General&quot;号&quot;&quot;物&quot;&quot;件&quot;"/>
    <numFmt numFmtId="288" formatCode="#,##0.00\\ &quot;・&quot;"/>
    <numFmt numFmtId="289" formatCode="#,##0\\ &quot;円&quot;&quot;／&quot;&quot;・&quot;"/>
    <numFmt numFmtId="290" formatCode="General&quot;％&quot;"/>
    <numFmt numFmtId="291" formatCode="#,##0.000&quot;・&quot;"/>
    <numFmt numFmtId="292" formatCode="#,##0.00_ ;[Red]\\-#,##0.00\\ "/>
    <numFmt numFmtId="293" formatCode="_ &quot;¥&quot;* #,##0_ ;_ &quot;¥&quot;* \\-#,##0_ ;_ &quot;¥&quot;* &quot;-&quot;_ ;_ @_ "/>
    <numFmt numFmtId="294" formatCode="_ * #,##0_ ;_ * \\-#,##0_ ;_ * &quot;-&quot;_ ;_ @_ "/>
    <numFmt numFmtId="295" formatCode="_ &quot;¥&quot;* #,##0.00_ ;_ &quot;¥&quot;* \\-#,##0.00_ ;_ &quot;¥&quot;* &quot;-&quot;??_ ;_ @_ "/>
    <numFmt numFmtId="296" formatCode="_ * #,##0.00_ ;_ * \\-#,##0.00_ ;_ * &quot;-&quot;??_ ;_ @_ "/>
    <numFmt numFmtId="297" formatCode="#,##0.00&quot;㎡&quot;"/>
    <numFmt numFmtId="298" formatCode="#,##0&quot;円&quot;&quot;／&quot;&quot;㎡&quot;"/>
    <numFmt numFmtId="299" formatCode="0.0&quot;㎡&quot;"/>
    <numFmt numFmtId="300" formatCode="0&quot;㎡未満&quot;"/>
    <numFmt numFmtId="301" formatCode="0&quot;㎡以上&quot;"/>
    <numFmt numFmtId="302" formatCode="0&quot;㎡&quot;"/>
    <numFmt numFmtId="303" formatCode="ggge&quot;年&quot;m&quot;月&quot;"/>
    <numFmt numFmtId="304" formatCode="#,##0.&quot;㎡&quot;"/>
    <numFmt numFmtId="305" formatCode="&quot;¥&quot;#,##0.000;&quot;¥&quot;\-#,##0.000"/>
    <numFmt numFmtId="306" formatCode="0.0_);[Red]\(0.0\)"/>
    <numFmt numFmtId="307" formatCode="#,##0.0;[Red]\-#,##0.0"/>
    <numFmt numFmtId="308" formatCode="#,##0.000;[Red]\-#,##0.000"/>
    <numFmt numFmtId="309" formatCode="0&quot;　%&quot;"/>
    <numFmt numFmtId="310" formatCode="#,##0&quot;㎡&quot;"/>
    <numFmt numFmtId="311" formatCode="#,##0&quot;円&quot;&quot;／&quot;&quot;hei &quot;"/>
    <numFmt numFmtId="312" formatCode="#,##0.00_ ;[Red]\-#,##0.00\ "/>
    <numFmt numFmtId="313" formatCode="0.0&quot;度&quot;"/>
    <numFmt numFmtId="314" formatCode="0.000_);[Red]&quot;¥&quot;\(0.000&quot;¥&quot;\)"/>
    <numFmt numFmtId="315" formatCode="#,##0.0&quot;㎡&quot;"/>
    <numFmt numFmtId="316" formatCode="ggge&quot;年&quot;m&quot;月頃&quot;"/>
    <numFmt numFmtId="317" formatCode="#,##0.0000;[Red]\-#,##0.0000"/>
    <numFmt numFmtId="318" formatCode="0.00_);[Red]\(0.00\)"/>
    <numFmt numFmtId="319" formatCode="#,##0_);[Red]\(#,##0\)"/>
    <numFmt numFmtId="320" formatCode="#,##0.000_ "/>
    <numFmt numFmtId="321" formatCode="#,##0.00000"/>
    <numFmt numFmtId="322" formatCode="0.000_);[Red]\(0.000\)"/>
    <numFmt numFmtId="323" formatCode="0.0000_ "/>
    <numFmt numFmtId="324" formatCode="0.00000_ "/>
    <numFmt numFmtId="325" formatCode="0_);[Red]\(0\)"/>
    <numFmt numFmtId="326" formatCode="0&quot; 日&quot;"/>
    <numFmt numFmtId="327" formatCode="General&quot;点&quot;"/>
    <numFmt numFmtId="328" formatCode="0.00&quot;㎡&quot;"/>
    <numFmt numFmtId="329" formatCode="0&quot;㎡以下&quot;"/>
  </numFmts>
  <fonts count="88">
    <font>
      <sz val="12"/>
      <name val="Osaka"/>
      <family val="0"/>
    </font>
    <font>
      <b/>
      <sz val="12"/>
      <name val="Osaka"/>
      <family val="0"/>
    </font>
    <font>
      <i/>
      <sz val="12"/>
      <name val="Osaka"/>
      <family val="0"/>
    </font>
    <font>
      <b/>
      <i/>
      <sz val="12"/>
      <name val="Osaka"/>
      <family val="0"/>
    </font>
    <font>
      <u val="single"/>
      <sz val="12"/>
      <color indexed="12"/>
      <name val="Osaka"/>
      <family val="3"/>
    </font>
    <font>
      <sz val="11"/>
      <name val="明朝"/>
      <family val="1"/>
    </font>
    <font>
      <sz val="11"/>
      <name val="ＭＳ Ｐゴシック"/>
      <family val="3"/>
    </font>
    <font>
      <u val="single"/>
      <sz val="12"/>
      <color indexed="20"/>
      <name val="Osaka"/>
      <family val="3"/>
    </font>
    <font>
      <sz val="6"/>
      <name val="ＭＳ Ｐゴシック"/>
      <family val="3"/>
    </font>
    <font>
      <sz val="12"/>
      <color indexed="10"/>
      <name val="平成明朝"/>
      <family val="3"/>
    </font>
    <font>
      <sz val="12"/>
      <name val="ＭＳ 明朝"/>
      <family val="1"/>
    </font>
    <font>
      <sz val="12"/>
      <color indexed="8"/>
      <name val="ＭＳ 明朝"/>
      <family val="1"/>
    </font>
    <font>
      <sz val="12"/>
      <color indexed="14"/>
      <name val="ＭＳ 明朝"/>
      <family val="1"/>
    </font>
    <font>
      <b/>
      <sz val="12"/>
      <color indexed="10"/>
      <name val="ＭＳ 明朝"/>
      <family val="1"/>
    </font>
    <font>
      <sz val="12"/>
      <color indexed="12"/>
      <name val="ＭＳ 明朝"/>
      <family val="1"/>
    </font>
    <font>
      <b/>
      <sz val="12"/>
      <color indexed="14"/>
      <name val="ＭＳ 明朝"/>
      <family val="1"/>
    </font>
    <font>
      <sz val="12"/>
      <color indexed="10"/>
      <name val="ＭＳ 明朝"/>
      <family val="1"/>
    </font>
    <font>
      <sz val="10"/>
      <name val="Osaka"/>
      <family val="3"/>
    </font>
    <font>
      <i/>
      <sz val="12"/>
      <name val="平成明朝"/>
      <family val="3"/>
    </font>
    <font>
      <b/>
      <sz val="12"/>
      <color indexed="18"/>
      <name val="Osaka"/>
      <family val="3"/>
    </font>
    <font>
      <i/>
      <sz val="10"/>
      <name val="平成明朝"/>
      <family val="3"/>
    </font>
    <font>
      <sz val="10"/>
      <name val="平成明朝"/>
      <family val="3"/>
    </font>
    <font>
      <i/>
      <sz val="9"/>
      <name val="平成明朝"/>
      <family val="3"/>
    </font>
    <font>
      <sz val="6"/>
      <name val="Osaka"/>
      <family val="3"/>
    </font>
    <font>
      <sz val="9"/>
      <name val="平成明朝"/>
      <family val="3"/>
    </font>
    <font>
      <i/>
      <sz val="10"/>
      <name val="Arial"/>
      <family val="2"/>
    </font>
    <font>
      <sz val="10"/>
      <name val="ＭＳ 明朝"/>
      <family val="1"/>
    </font>
    <font>
      <sz val="10"/>
      <name val="ヒラギノ明朝 Pro W6"/>
      <family val="3"/>
    </font>
    <font>
      <sz val="11"/>
      <name val="ヒラギノ明朝 Pro W6"/>
      <family val="3"/>
    </font>
    <font>
      <b/>
      <sz val="10"/>
      <name val="ヒラギノ明朝 Pro W6"/>
      <family val="3"/>
    </font>
    <font>
      <sz val="8"/>
      <name val="平成明朝"/>
      <family val="3"/>
    </font>
    <font>
      <i/>
      <sz val="8"/>
      <name val="平成明朝"/>
      <family val="3"/>
    </font>
    <font>
      <sz val="12"/>
      <color indexed="10"/>
      <name val="Osaka"/>
      <family val="3"/>
    </font>
    <font>
      <sz val="12"/>
      <color indexed="18"/>
      <name val="Osaka"/>
      <family val="3"/>
    </font>
    <font>
      <sz val="12"/>
      <color indexed="8"/>
      <name val="Osaka"/>
      <family val="3"/>
    </font>
    <font>
      <b/>
      <sz val="12"/>
      <color indexed="10"/>
      <name val="Osaka"/>
      <family val="3"/>
    </font>
    <font>
      <sz val="12"/>
      <color indexed="9"/>
      <name val="Osaka"/>
      <family val="3"/>
    </font>
    <font>
      <sz val="12"/>
      <color indexed="12"/>
      <name val="Osaka"/>
      <family val="3"/>
    </font>
    <font>
      <b/>
      <sz val="12"/>
      <color indexed="12"/>
      <name val="Osaka"/>
      <family val="3"/>
    </font>
    <font>
      <i/>
      <sz val="7"/>
      <name val="平成明朝"/>
      <family val="3"/>
    </font>
    <font>
      <sz val="11"/>
      <name val="平成明朝"/>
      <family val="3"/>
    </font>
    <font>
      <i/>
      <sz val="11"/>
      <name val="平成明朝"/>
      <family val="3"/>
    </font>
    <font>
      <sz val="12"/>
      <name val="平成明朝"/>
      <family val="3"/>
    </font>
    <font>
      <b/>
      <i/>
      <sz val="12"/>
      <name val="平成明朝"/>
      <family val="3"/>
    </font>
    <font>
      <sz val="12"/>
      <color indexed="21"/>
      <name val="Osaka"/>
      <family val="3"/>
    </font>
    <font>
      <sz val="9.5"/>
      <color indexed="8"/>
      <name val="平成明朝"/>
      <family val="0"/>
    </font>
    <font>
      <i/>
      <sz val="9"/>
      <color indexed="8"/>
      <name val="平成明朝"/>
      <family val="0"/>
    </font>
    <font>
      <sz val="9"/>
      <color indexed="8"/>
      <name val="平成明朝"/>
      <family val="0"/>
    </font>
    <font>
      <sz val="8.5"/>
      <color indexed="8"/>
      <name val="平成明朝"/>
      <family val="0"/>
    </font>
    <font>
      <b/>
      <sz val="18"/>
      <color indexed="62"/>
      <name val="ＭＳ Ｐゴシック"/>
      <family val="2"/>
    </font>
    <font>
      <b/>
      <sz val="15"/>
      <color indexed="62"/>
      <name val="ＭＳ Ｐゴシック"/>
      <family val="2"/>
    </font>
    <font>
      <b/>
      <sz val="13"/>
      <color indexed="62"/>
      <name val="ＭＳ Ｐゴシック"/>
      <family val="2"/>
    </font>
    <font>
      <b/>
      <sz val="11"/>
      <color indexed="62"/>
      <name val="ＭＳ Ｐゴシック"/>
      <family val="2"/>
    </font>
    <font>
      <sz val="12"/>
      <color indexed="17"/>
      <name val="ＭＳ Ｐゴシック"/>
      <family val="2"/>
    </font>
    <font>
      <sz val="12"/>
      <color indexed="20"/>
      <name val="ＭＳ Ｐゴシック"/>
      <family val="2"/>
    </font>
    <font>
      <sz val="12"/>
      <color indexed="60"/>
      <name val="ＭＳ Ｐゴシック"/>
      <family val="2"/>
    </font>
    <font>
      <sz val="12"/>
      <color indexed="62"/>
      <name val="ＭＳ Ｐゴシック"/>
      <family val="2"/>
    </font>
    <font>
      <b/>
      <sz val="12"/>
      <color indexed="63"/>
      <name val="ＭＳ Ｐゴシック"/>
      <family val="2"/>
    </font>
    <font>
      <b/>
      <sz val="12"/>
      <color indexed="52"/>
      <name val="ＭＳ Ｐゴシック"/>
      <family val="2"/>
    </font>
    <font>
      <sz val="12"/>
      <color indexed="52"/>
      <name val="ＭＳ Ｐゴシック"/>
      <family val="2"/>
    </font>
    <font>
      <b/>
      <sz val="12"/>
      <color indexed="9"/>
      <name val="ＭＳ Ｐゴシック"/>
      <family val="2"/>
    </font>
    <font>
      <sz val="12"/>
      <color indexed="10"/>
      <name val="ＭＳ Ｐゴシック"/>
      <family val="2"/>
    </font>
    <font>
      <i/>
      <sz val="12"/>
      <color indexed="23"/>
      <name val="ＭＳ Ｐゴシック"/>
      <family val="2"/>
    </font>
    <font>
      <b/>
      <sz val="12"/>
      <color indexed="8"/>
      <name val="ＭＳ Ｐゴシック"/>
      <family val="2"/>
    </font>
    <font>
      <sz val="12"/>
      <color indexed="9"/>
      <name val="ＭＳ Ｐゴシック"/>
      <family val="2"/>
    </font>
    <font>
      <sz val="12"/>
      <color indexed="8"/>
      <name val="ＭＳ Ｐゴシック"/>
      <family val="2"/>
    </font>
    <font>
      <sz val="9"/>
      <color indexed="8"/>
      <name val="Osaka"/>
      <family val="0"/>
    </font>
    <font>
      <sz val="10"/>
      <color indexed="8"/>
      <name val="Osaka"/>
      <family val="0"/>
    </font>
    <font>
      <i/>
      <sz val="10"/>
      <color indexed="8"/>
      <name val="平成明朝"/>
      <family val="0"/>
    </font>
    <font>
      <i/>
      <sz val="14"/>
      <color indexed="8"/>
      <name val="平成明朝"/>
      <family val="0"/>
    </font>
    <font>
      <i/>
      <sz val="12"/>
      <color indexed="8"/>
      <name val="平成明朝"/>
      <family val="0"/>
    </font>
    <font>
      <sz val="12"/>
      <color theme="1"/>
      <name val="Calibri"/>
      <family val="2"/>
    </font>
    <font>
      <sz val="12"/>
      <color theme="0"/>
      <name val="Calibri"/>
      <family val="2"/>
    </font>
    <font>
      <b/>
      <sz val="18"/>
      <color theme="3"/>
      <name val="Cambria"/>
      <family val="2"/>
    </font>
    <font>
      <b/>
      <sz val="12"/>
      <color theme="0"/>
      <name val="Calibri"/>
      <family val="2"/>
    </font>
    <font>
      <sz val="12"/>
      <color rgb="FFFA7D00"/>
      <name val="Calibri"/>
      <family val="2"/>
    </font>
    <font>
      <sz val="12"/>
      <color rgb="FF9C0006"/>
      <name val="Calibri"/>
      <family val="2"/>
    </font>
    <font>
      <b/>
      <sz val="12"/>
      <color rgb="FFFA7D00"/>
      <name val="Calibri"/>
      <family val="2"/>
    </font>
    <font>
      <sz val="12"/>
      <color rgb="FFFF00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rgb="FF3F3F3F"/>
      <name val="Calibri"/>
      <family val="2"/>
    </font>
    <font>
      <i/>
      <sz val="12"/>
      <color rgb="FF7F7F7F"/>
      <name val="Calibri"/>
      <family val="2"/>
    </font>
    <font>
      <sz val="12"/>
      <color rgb="FF3F3F76"/>
      <name val="Calibri"/>
      <family val="2"/>
    </font>
    <font>
      <sz val="12"/>
      <color rgb="FF9C6500"/>
      <name val="Calibri"/>
      <family val="2"/>
    </font>
    <font>
      <sz val="12"/>
      <color rgb="FF006100"/>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indexed="9"/>
        <bgColor indexed="64"/>
      </patternFill>
    </fill>
    <fill>
      <patternFill patternType="solid">
        <fgColor indexed="9"/>
        <bgColor indexed="64"/>
      </patternFill>
    </fill>
    <fill>
      <patternFill patternType="solid">
        <fgColor indexed="42"/>
        <bgColor indexed="64"/>
      </patternFill>
    </fill>
  </fills>
  <borders count="2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color indexed="63"/>
      </right>
      <top style="double"/>
      <bottom>
        <color indexed="63"/>
      </bottom>
    </border>
    <border>
      <left style="thin"/>
      <right style="double"/>
      <top style="thin"/>
      <bottom style="thin"/>
    </border>
    <border>
      <left style="double"/>
      <right style="thin"/>
      <top style="thin"/>
      <bottom style="double"/>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hair"/>
      <top style="hair"/>
      <bottom style="hair"/>
    </border>
    <border>
      <left style="hair"/>
      <right style="hair"/>
      <top style="hair"/>
      <bottom style="hair"/>
    </border>
    <border>
      <left style="hair"/>
      <right style="double"/>
      <top style="hair"/>
      <bottom style="hair"/>
    </border>
    <border>
      <left style="double"/>
      <right style="hair"/>
      <top style="hair"/>
      <bottom style="double"/>
    </border>
    <border>
      <left style="hair"/>
      <right style="hair"/>
      <top style="hair"/>
      <bottom style="double"/>
    </border>
    <border>
      <left style="hair"/>
      <right style="double"/>
      <top style="hair"/>
      <bottom style="double"/>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medium">
        <color indexed="18"/>
      </bottom>
    </border>
    <border>
      <left>
        <color indexed="63"/>
      </left>
      <right>
        <color indexed="63"/>
      </right>
      <top>
        <color indexed="63"/>
      </top>
      <bottom style="medium">
        <color indexed="18"/>
      </bottom>
    </border>
    <border>
      <left style="thin"/>
      <right style="hair"/>
      <top style="double"/>
      <bottom style="hair"/>
    </border>
    <border>
      <left style="hair"/>
      <right>
        <color indexed="63"/>
      </right>
      <top style="double"/>
      <bottom style="hair"/>
    </border>
    <border>
      <left>
        <color indexed="63"/>
      </left>
      <right>
        <color indexed="63"/>
      </right>
      <top style="double"/>
      <bottom style="hair"/>
    </border>
    <border>
      <left>
        <color indexed="63"/>
      </left>
      <right style="double"/>
      <top style="double"/>
      <bottom style="hair"/>
    </border>
    <border>
      <left style="thin"/>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double"/>
      <top style="hair"/>
      <bottom style="hair"/>
    </border>
    <border>
      <left style="thin"/>
      <right style="hair"/>
      <top style="hair"/>
      <bottom style="double"/>
    </border>
    <border>
      <left>
        <color indexed="63"/>
      </left>
      <right style="double"/>
      <top style="hair"/>
      <bottom style="double"/>
    </border>
    <border>
      <left style="double"/>
      <right>
        <color indexed="63"/>
      </right>
      <top>
        <color indexed="63"/>
      </top>
      <bottom style="thin"/>
    </border>
    <border>
      <left style="hair"/>
      <right style="hair"/>
      <top style="double"/>
      <bottom style="thin"/>
    </border>
    <border>
      <left style="hair"/>
      <right>
        <color indexed="63"/>
      </right>
      <top>
        <color indexed="63"/>
      </top>
      <bottom style="thin"/>
    </border>
    <border>
      <left style="thin"/>
      <right style="hair"/>
      <top style="double"/>
      <bottom style="thin"/>
    </border>
    <border>
      <left style="hair"/>
      <right style="hair"/>
      <top>
        <color indexed="63"/>
      </top>
      <bottom style="thin"/>
    </border>
    <border>
      <left style="hair"/>
      <right style="double"/>
      <top>
        <color indexed="63"/>
      </top>
      <bottom style="thin"/>
    </border>
    <border>
      <left style="hair"/>
      <right style="thin"/>
      <top>
        <color indexed="63"/>
      </top>
      <bottom style="thin"/>
    </border>
    <border>
      <left style="hair"/>
      <right style="hair"/>
      <top>
        <color indexed="63"/>
      </top>
      <bottom style="hair"/>
    </border>
    <border>
      <left style="hair"/>
      <right>
        <color indexed="63"/>
      </right>
      <top>
        <color indexed="63"/>
      </top>
      <bottom style="hair"/>
    </border>
    <border>
      <left style="hair"/>
      <right style="double"/>
      <top>
        <color indexed="63"/>
      </top>
      <bottom style="hair"/>
    </border>
    <border>
      <left style="hair"/>
      <right style="thin"/>
      <top>
        <color indexed="63"/>
      </top>
      <bottom style="hair"/>
    </border>
    <border>
      <left style="thin"/>
      <right style="double"/>
      <top>
        <color indexed="63"/>
      </top>
      <bottom>
        <color indexed="63"/>
      </bottom>
    </border>
    <border>
      <left style="double"/>
      <right style="hair"/>
      <top>
        <color indexed="63"/>
      </top>
      <bottom>
        <color indexed="63"/>
      </bottom>
    </border>
    <border>
      <left style="hair"/>
      <right style="thin"/>
      <top style="hair"/>
      <bottom style="hair"/>
    </border>
    <border>
      <left style="thin"/>
      <right>
        <color indexed="63"/>
      </right>
      <top style="hair"/>
      <bottom style="hair"/>
    </border>
    <border>
      <left style="double"/>
      <right>
        <color indexed="63"/>
      </right>
      <top style="hair"/>
      <bottom style="hair"/>
    </border>
    <border>
      <left style="thin"/>
      <right style="double"/>
      <top>
        <color indexed="63"/>
      </top>
      <bottom style="hair"/>
    </border>
    <border>
      <left style="thin"/>
      <right style="double"/>
      <top style="hair"/>
      <bottom>
        <color indexed="63"/>
      </bottom>
    </border>
    <border>
      <left style="hair"/>
      <right style="hair"/>
      <top style="hair"/>
      <bottom style="thin"/>
    </border>
    <border>
      <left style="hair"/>
      <right style="thin"/>
      <top style="hair"/>
      <bottom style="thin"/>
    </border>
    <border>
      <left style="thin"/>
      <right>
        <color indexed="63"/>
      </right>
      <top>
        <color indexed="63"/>
      </top>
      <bottom style="thin"/>
    </border>
    <border>
      <left style="hair"/>
      <right style="hair"/>
      <top style="thin"/>
      <bottom style="hair"/>
    </border>
    <border>
      <left style="hair"/>
      <right>
        <color indexed="63"/>
      </right>
      <top style="thin"/>
      <bottom style="hair"/>
    </border>
    <border>
      <left style="thin"/>
      <right>
        <color indexed="63"/>
      </right>
      <top style="thin"/>
      <bottom style="hair"/>
    </border>
    <border>
      <left style="hair"/>
      <right style="double"/>
      <top style="thin"/>
      <bottom style="hair"/>
    </border>
    <border>
      <left style="double"/>
      <right>
        <color indexed="63"/>
      </right>
      <top style="thin"/>
      <bottom style="hair"/>
    </border>
    <border>
      <left style="hair"/>
      <right style="thin"/>
      <top style="thin"/>
      <bottom style="hair"/>
    </border>
    <border>
      <left style="hair"/>
      <right>
        <color indexed="63"/>
      </right>
      <top style="hair"/>
      <bottom style="thin"/>
    </border>
    <border>
      <left style="thin"/>
      <right>
        <color indexed="63"/>
      </right>
      <top style="hair"/>
      <bottom style="thin"/>
    </border>
    <border>
      <left style="hair"/>
      <right style="double"/>
      <top style="hair"/>
      <bottom style="thin"/>
    </border>
    <border>
      <left style="double"/>
      <right>
        <color indexed="63"/>
      </right>
      <top style="hair"/>
      <bottom style="thin"/>
    </border>
    <border>
      <left style="hair"/>
      <right style="hair"/>
      <top style="hair"/>
      <bottom>
        <color indexed="63"/>
      </bottom>
    </border>
    <border>
      <left style="hair"/>
      <right>
        <color indexed="63"/>
      </right>
      <top style="hair"/>
      <bottom>
        <color indexed="63"/>
      </bottom>
    </border>
    <border>
      <left style="hair"/>
      <right style="double"/>
      <top style="hair"/>
      <bottom>
        <color indexed="63"/>
      </bottom>
    </border>
    <border>
      <left>
        <color indexed="63"/>
      </left>
      <right style="hair"/>
      <top style="hair"/>
      <bottom style="thin"/>
    </border>
    <border>
      <left style="hair"/>
      <right style="double"/>
      <top style="thin"/>
      <bottom style="double"/>
    </border>
    <border>
      <left style="hair"/>
      <right>
        <color indexed="63"/>
      </right>
      <top style="thin"/>
      <bottom style="double"/>
    </border>
    <border>
      <left style="thin"/>
      <right style="double"/>
      <top>
        <color indexed="63"/>
      </top>
      <bottom style="double"/>
    </border>
    <border>
      <left style="double"/>
      <right>
        <color indexed="63"/>
      </right>
      <top style="double"/>
      <bottom style="thin"/>
    </border>
    <border>
      <left style="hair"/>
      <right>
        <color indexed="63"/>
      </right>
      <top style="double"/>
      <bottom style="thin"/>
    </border>
    <border>
      <left style="hair"/>
      <right style="double"/>
      <top style="double"/>
      <bottom style="thin"/>
    </border>
    <border>
      <left style="hair"/>
      <right style="thin"/>
      <top style="double"/>
      <bottom style="thin"/>
    </border>
    <border>
      <left style="thin"/>
      <right>
        <color indexed="63"/>
      </right>
      <top>
        <color indexed="63"/>
      </top>
      <bottom style="hair"/>
    </border>
    <border>
      <left style="double"/>
      <right>
        <color indexed="63"/>
      </right>
      <top>
        <color indexed="63"/>
      </top>
      <bottom style="hair"/>
    </border>
    <border>
      <left style="thin"/>
      <right style="double"/>
      <top style="hair"/>
      <bottom style="thin"/>
    </border>
    <border>
      <left>
        <color indexed="63"/>
      </left>
      <right>
        <color indexed="63"/>
      </right>
      <top style="thin"/>
      <bottom style="hair"/>
    </border>
    <border>
      <left>
        <color indexed="63"/>
      </left>
      <right style="double"/>
      <top style="thin"/>
      <bottom style="hair"/>
    </border>
    <border>
      <left>
        <color indexed="63"/>
      </left>
      <right style="thin"/>
      <top style="thin"/>
      <bottom style="hair"/>
    </border>
    <border>
      <left>
        <color indexed="63"/>
      </left>
      <right style="thin"/>
      <top style="hair"/>
      <bottom style="hair"/>
    </border>
    <border>
      <left style="thin"/>
      <right style="double"/>
      <top>
        <color indexed="63"/>
      </top>
      <bottom style="thin"/>
    </border>
    <border>
      <left style="thin"/>
      <right style="double"/>
      <top style="thin"/>
      <bottom style="hair"/>
    </border>
    <border>
      <left style="thin"/>
      <right style="double"/>
      <top style="hair"/>
      <bottom style="hair"/>
    </border>
    <border>
      <left style="hair"/>
      <right>
        <color indexed="63"/>
      </right>
      <top style="hair"/>
      <bottom style="double"/>
    </border>
    <border>
      <left style="thin"/>
      <right>
        <color indexed="63"/>
      </right>
      <top style="hair"/>
      <bottom style="double"/>
    </border>
    <border>
      <left style="double"/>
      <right>
        <color indexed="63"/>
      </right>
      <top style="hair"/>
      <bottom style="double"/>
    </border>
    <border>
      <left style="hair"/>
      <right style="thin"/>
      <top style="hair"/>
      <bottom style="double"/>
    </border>
    <border>
      <left style="thin"/>
      <right style="double"/>
      <top style="hair"/>
      <bottom style="double"/>
    </border>
    <border>
      <left style="double"/>
      <right>
        <color indexed="63"/>
      </right>
      <top style="double"/>
      <bottom style="double"/>
    </border>
    <border>
      <left>
        <color indexed="63"/>
      </left>
      <right>
        <color indexed="63"/>
      </right>
      <top style="double"/>
      <bottom style="double"/>
    </border>
    <border>
      <left style="thin"/>
      <right>
        <color indexed="63"/>
      </right>
      <top style="double"/>
      <bottom style="double"/>
    </border>
    <border>
      <left>
        <color indexed="63"/>
      </left>
      <right style="hair"/>
      <top style="double"/>
      <bottom style="double"/>
    </border>
    <border>
      <left style="hair"/>
      <right style="double"/>
      <top style="double"/>
      <bottom style="double"/>
    </border>
    <border>
      <left style="hair"/>
      <right style="thin"/>
      <top style="double"/>
      <bottom style="double"/>
    </border>
    <border>
      <left style="thin"/>
      <right style="double"/>
      <top style="double"/>
      <bottom style="double"/>
    </border>
    <border>
      <left style="thin">
        <color indexed="10"/>
      </left>
      <right style="thin">
        <color indexed="10"/>
      </right>
      <top style="thin">
        <color indexed="10"/>
      </top>
      <bottom>
        <color indexed="63"/>
      </bottom>
    </border>
    <border>
      <left style="thin">
        <color indexed="10"/>
      </left>
      <right style="thin">
        <color indexed="10"/>
      </right>
      <top style="thin">
        <color indexed="10"/>
      </top>
      <bottom style="thin">
        <color indexed="10"/>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medium"/>
      <right style="medium"/>
      <top style="medium"/>
      <bottom style="medium"/>
    </border>
    <border>
      <left style="thin">
        <color indexed="10"/>
      </left>
      <right style="thin">
        <color indexed="10"/>
      </right>
      <top>
        <color indexed="63"/>
      </top>
      <bottom style="thin">
        <color indexed="10"/>
      </bottom>
    </border>
    <border>
      <left style="thin">
        <color indexed="10"/>
      </left>
      <right>
        <color indexed="63"/>
      </right>
      <top>
        <color indexed="63"/>
      </top>
      <bottom>
        <color indexed="63"/>
      </bottom>
    </border>
    <border>
      <left style="medium">
        <color indexed="12"/>
      </left>
      <right>
        <color indexed="63"/>
      </right>
      <top style="medium">
        <color indexed="12"/>
      </top>
      <bottom style="thin">
        <color indexed="12"/>
      </bottom>
    </border>
    <border>
      <left>
        <color indexed="63"/>
      </left>
      <right>
        <color indexed="63"/>
      </right>
      <top style="medium">
        <color indexed="12"/>
      </top>
      <bottom style="thin">
        <color indexed="12"/>
      </bottom>
    </border>
    <border>
      <left>
        <color indexed="63"/>
      </left>
      <right style="medium">
        <color indexed="12"/>
      </right>
      <top style="medium">
        <color indexed="12"/>
      </top>
      <bottom style="thin">
        <color indexed="12"/>
      </bottom>
    </border>
    <border>
      <left style="medium">
        <color indexed="12"/>
      </left>
      <right>
        <color indexed="63"/>
      </right>
      <top style="thin">
        <color indexed="12"/>
      </top>
      <bottom style="medium">
        <color indexed="12"/>
      </bottom>
    </border>
    <border>
      <left>
        <color indexed="63"/>
      </left>
      <right>
        <color indexed="63"/>
      </right>
      <top style="thin">
        <color indexed="12"/>
      </top>
      <bottom style="medium">
        <color indexed="12"/>
      </bottom>
    </border>
    <border>
      <left>
        <color indexed="63"/>
      </left>
      <right style="medium">
        <color indexed="12"/>
      </right>
      <top style="thin">
        <color indexed="12"/>
      </top>
      <bottom style="medium">
        <color indexed="12"/>
      </bottom>
    </border>
    <border>
      <left style="medium">
        <color indexed="12"/>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style="thin"/>
      <right>
        <color indexed="63"/>
      </right>
      <top style="thin"/>
      <bottom>
        <color indexed="63"/>
      </bottom>
    </border>
    <border>
      <left style="thin"/>
      <right style="thin"/>
      <top style="thin"/>
      <bottom>
        <color indexed="63"/>
      </bottom>
    </border>
    <border>
      <left style="thin">
        <color indexed="10"/>
      </left>
      <right>
        <color indexed="63"/>
      </right>
      <top style="thin">
        <color indexed="10"/>
      </top>
      <bottom>
        <color indexed="63"/>
      </bottom>
    </border>
    <border>
      <left style="thin"/>
      <right style="thin"/>
      <top>
        <color indexed="63"/>
      </top>
      <bottom>
        <color indexed="63"/>
      </bottom>
    </border>
    <border>
      <left style="thin"/>
      <right>
        <color indexed="63"/>
      </right>
      <top style="thin"/>
      <bottom style="thin"/>
    </border>
    <border>
      <left style="medium">
        <color indexed="12"/>
      </left>
      <right>
        <color indexed="63"/>
      </right>
      <top style="medium">
        <color indexed="12"/>
      </top>
      <bottom>
        <color indexed="63"/>
      </bottom>
    </border>
    <border>
      <left style="thin">
        <color indexed="12"/>
      </left>
      <right style="medium">
        <color indexed="12"/>
      </right>
      <top style="medium">
        <color indexed="12"/>
      </top>
      <bottom>
        <color indexed="63"/>
      </bottom>
    </border>
    <border>
      <left style="thin">
        <color indexed="12"/>
      </left>
      <right style="medium">
        <color indexed="12"/>
      </right>
      <top style="thin">
        <color indexed="12"/>
      </top>
      <bottom style="medium">
        <color indexed="12"/>
      </bottom>
    </border>
    <border>
      <left style="thin">
        <color indexed="10"/>
      </left>
      <right>
        <color indexed="63"/>
      </right>
      <top style="double"/>
      <bottom style="double"/>
    </border>
    <border>
      <left style="thin">
        <color indexed="10"/>
      </left>
      <right style="double"/>
      <top style="double"/>
      <bottom style="double"/>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double"/>
      <right>
        <color indexed="63"/>
      </right>
      <top style="thin"/>
      <bottom style="double"/>
    </border>
    <border>
      <left>
        <color indexed="63"/>
      </left>
      <right>
        <color indexed="63"/>
      </right>
      <top style="thin"/>
      <bottom style="double"/>
    </border>
    <border>
      <left>
        <color indexed="63"/>
      </left>
      <right style="double"/>
      <top style="double"/>
      <bottom style="thin"/>
    </border>
    <border>
      <left>
        <color indexed="63"/>
      </left>
      <right style="double"/>
      <top style="thin"/>
      <bottom style="double"/>
    </border>
    <border>
      <left style="thin"/>
      <right style="thin"/>
      <top style="thin"/>
      <bottom style="double"/>
    </border>
    <border>
      <left style="thin"/>
      <right style="double"/>
      <top style="thin"/>
      <bottom style="double"/>
    </border>
    <border>
      <left>
        <color indexed="63"/>
      </left>
      <right style="double"/>
      <top style="double"/>
      <bottom style="double"/>
    </border>
    <border>
      <left style="double"/>
      <right style="thin"/>
      <top style="double"/>
      <bottom style="double"/>
    </border>
    <border>
      <left style="thin"/>
      <right>
        <color indexed="63"/>
      </right>
      <top style="double"/>
      <bottom style="thin"/>
    </border>
    <border>
      <left style="double"/>
      <right style="double"/>
      <top style="double"/>
      <bottom style="thin"/>
    </border>
    <border>
      <left style="double"/>
      <right style="double"/>
      <top style="thin"/>
      <bottom style="thin"/>
    </border>
    <border>
      <left style="thin"/>
      <right>
        <color indexed="63"/>
      </right>
      <top style="thin"/>
      <bottom style="double"/>
    </border>
    <border>
      <left style="double"/>
      <right style="double"/>
      <top style="thin"/>
      <bottom style="double"/>
    </border>
    <border>
      <left style="double"/>
      <right style="thin"/>
      <top style="thin"/>
      <bottom>
        <color indexed="63"/>
      </bottom>
    </border>
    <border>
      <left style="thin"/>
      <right style="double"/>
      <top style="thin"/>
      <bottom>
        <color indexed="63"/>
      </bottom>
    </border>
    <border>
      <left style="double"/>
      <right style="thin"/>
      <top>
        <color indexed="63"/>
      </top>
      <bottom style="thin"/>
    </border>
    <border>
      <left>
        <color indexed="63"/>
      </left>
      <right>
        <color indexed="63"/>
      </right>
      <top style="double"/>
      <bottom style="thin"/>
    </border>
    <border>
      <left>
        <color indexed="63"/>
      </left>
      <right style="double"/>
      <top>
        <color indexed="63"/>
      </top>
      <bottom style="hair"/>
    </border>
    <border>
      <left style="double"/>
      <right style="thin"/>
      <top>
        <color indexed="63"/>
      </top>
      <bottom>
        <color indexed="63"/>
      </bottom>
    </border>
    <border>
      <left style="hair"/>
      <right style="hair"/>
      <top>
        <color indexed="63"/>
      </top>
      <bottom>
        <color indexed="63"/>
      </bottom>
    </border>
    <border>
      <left>
        <color indexed="63"/>
      </left>
      <right style="double"/>
      <top style="hair"/>
      <bottom>
        <color indexed="63"/>
      </bottom>
    </border>
    <border>
      <left>
        <color indexed="63"/>
      </left>
      <right style="double"/>
      <top>
        <color indexed="63"/>
      </top>
      <bottom>
        <color indexed="63"/>
      </bottom>
    </border>
    <border>
      <left style="thin"/>
      <right style="thin"/>
      <top style="hair"/>
      <bottom>
        <color indexed="63"/>
      </bottom>
    </border>
    <border>
      <left style="thin"/>
      <right style="thin"/>
      <top style="hair"/>
      <bottom style="hair"/>
    </border>
    <border>
      <left style="thin"/>
      <right style="thin"/>
      <top>
        <color indexed="63"/>
      </top>
      <bottom style="hair"/>
    </border>
    <border>
      <left>
        <color indexed="63"/>
      </left>
      <right style="double"/>
      <top>
        <color indexed="63"/>
      </top>
      <bottom style="thin"/>
    </border>
    <border>
      <left style="double"/>
      <right style="thin"/>
      <top>
        <color indexed="63"/>
      </top>
      <bottom style="double"/>
    </border>
    <border>
      <left style="thin"/>
      <right style="thin"/>
      <top>
        <color indexed="63"/>
      </top>
      <bottom style="double"/>
    </border>
    <border>
      <left style="thin"/>
      <right>
        <color indexed="63"/>
      </right>
      <top>
        <color indexed="63"/>
      </top>
      <bottom style="double"/>
    </border>
    <border>
      <left style="hair"/>
      <right style="hair"/>
      <top>
        <color indexed="63"/>
      </top>
      <bottom style="double"/>
    </border>
    <border>
      <left style="hair"/>
      <right style="double"/>
      <top>
        <color indexed="63"/>
      </top>
      <bottom style="double"/>
    </border>
    <border>
      <left>
        <color indexed="63"/>
      </left>
      <right style="double"/>
      <top>
        <color indexed="63"/>
      </top>
      <bottom style="double"/>
    </border>
    <border>
      <left>
        <color indexed="63"/>
      </left>
      <right>
        <color indexed="63"/>
      </right>
      <top>
        <color indexed="63"/>
      </top>
      <bottom style="double"/>
    </border>
    <border>
      <left style="thin"/>
      <right>
        <color indexed="63"/>
      </right>
      <top style="hair"/>
      <bottom>
        <color indexed="63"/>
      </bottom>
    </border>
    <border>
      <left style="hair"/>
      <right style="double"/>
      <top>
        <color indexed="63"/>
      </top>
      <bottom>
        <color indexed="63"/>
      </bottom>
    </border>
    <border>
      <left style="double"/>
      <right>
        <color indexed="63"/>
      </right>
      <top style="thin"/>
      <bottom style="thin"/>
    </border>
    <border>
      <left style="double"/>
      <right>
        <color indexed="63"/>
      </right>
      <top style="double"/>
      <bottom>
        <color indexed="63"/>
      </bottom>
    </border>
    <border>
      <left>
        <color indexed="63"/>
      </left>
      <right>
        <color indexed="63"/>
      </right>
      <top style="double"/>
      <bottom>
        <color indexed="63"/>
      </bottom>
    </border>
    <border>
      <left style="thin"/>
      <right style="double"/>
      <top style="double"/>
      <bottom>
        <color indexed="63"/>
      </bottom>
    </border>
    <border>
      <left style="double"/>
      <right>
        <color indexed="63"/>
      </right>
      <top style="double"/>
      <bottom style="hair"/>
    </border>
    <border>
      <left style="thin"/>
      <right>
        <color indexed="63"/>
      </right>
      <top style="double"/>
      <bottom style="hair"/>
    </border>
    <border>
      <left style="double"/>
      <right>
        <color indexed="63"/>
      </right>
      <top>
        <color indexed="63"/>
      </top>
      <bottom>
        <color indexed="63"/>
      </bottom>
    </border>
    <border>
      <left style="double"/>
      <right>
        <color indexed="63"/>
      </right>
      <top>
        <color indexed="63"/>
      </top>
      <bottom style="double"/>
    </border>
    <border>
      <left>
        <color indexed="63"/>
      </left>
      <right style="double"/>
      <top style="double"/>
      <bottom>
        <color indexed="63"/>
      </bottom>
    </border>
    <border>
      <left style="double"/>
      <right>
        <color indexed="63"/>
      </right>
      <top style="thin"/>
      <bottom>
        <color indexed="63"/>
      </bottom>
    </border>
    <border>
      <left>
        <color indexed="63"/>
      </left>
      <right style="double"/>
      <top style="thin"/>
      <bottom>
        <color indexed="63"/>
      </bottom>
    </border>
    <border>
      <left style="double"/>
      <right style="double"/>
      <top style="double"/>
      <bottom style="hair"/>
    </border>
    <border>
      <left style="double"/>
      <right style="double"/>
      <top style="hair"/>
      <bottom style="hair"/>
    </border>
    <border>
      <left style="double"/>
      <right style="hair"/>
      <top style="hair"/>
      <bottom style="thin"/>
    </border>
    <border>
      <left style="double"/>
      <right style="thin"/>
      <top style="double"/>
      <bottom>
        <color indexed="63"/>
      </bottom>
    </border>
    <border>
      <left style="double"/>
      <right style="double"/>
      <top style="double"/>
      <bottom style="double"/>
    </border>
    <border>
      <left style="double"/>
      <right style="double"/>
      <top style="hair"/>
      <bottom style="double"/>
    </border>
    <border>
      <left>
        <color indexed="63"/>
      </left>
      <right>
        <color indexed="63"/>
      </right>
      <top>
        <color indexed="63"/>
      </top>
      <bottom style="hair"/>
    </border>
    <border>
      <left style="hair"/>
      <right>
        <color indexed="63"/>
      </right>
      <top>
        <color indexed="63"/>
      </top>
      <bottom>
        <color indexed="63"/>
      </bottom>
    </border>
    <border>
      <left>
        <color indexed="63"/>
      </left>
      <right style="thin"/>
      <top style="double"/>
      <bottom style="hair"/>
    </border>
    <border>
      <left style="thin"/>
      <right style="thin"/>
      <top style="double"/>
      <bottom style="hair"/>
    </border>
    <border>
      <left style="thin"/>
      <right style="double"/>
      <top style="double"/>
      <bottom style="hair"/>
    </border>
    <border>
      <left>
        <color indexed="63"/>
      </left>
      <right>
        <color indexed="63"/>
      </right>
      <top style="hair"/>
      <bottom style="double"/>
    </border>
    <border>
      <left>
        <color indexed="63"/>
      </left>
      <right style="thin"/>
      <top style="hair"/>
      <bottom style="double"/>
    </border>
    <border>
      <left style="thin"/>
      <right style="thin"/>
      <top style="hair"/>
      <bottom style="double"/>
    </border>
    <border>
      <left style="hair"/>
      <right>
        <color indexed="63"/>
      </right>
      <top>
        <color indexed="63"/>
      </top>
      <bottom style="double"/>
    </border>
    <border>
      <left>
        <color indexed="63"/>
      </left>
      <right style="thin"/>
      <top style="double"/>
      <bottom style="thin"/>
    </border>
    <border>
      <left>
        <color indexed="63"/>
      </left>
      <right style="double"/>
      <top style="thin"/>
      <bottom style="thin"/>
    </border>
    <border>
      <left>
        <color indexed="63"/>
      </left>
      <right style="thin"/>
      <top style="thin"/>
      <bottom style="double"/>
    </border>
    <border>
      <left style="double"/>
      <right style="double"/>
      <top>
        <color indexed="63"/>
      </top>
      <bottom style="thin"/>
    </border>
    <border>
      <left style="double"/>
      <right style="double"/>
      <top style="thin"/>
      <bottom>
        <color indexed="63"/>
      </bottom>
    </border>
    <border>
      <left style="medium"/>
      <right>
        <color indexed="63"/>
      </right>
      <top>
        <color indexed="63"/>
      </top>
      <bottom style="medium"/>
    </border>
    <border>
      <left style="thin"/>
      <right>
        <color indexed="63"/>
      </right>
      <top style="double"/>
      <bottom style="medium"/>
    </border>
    <border>
      <left style="medium"/>
      <right>
        <color indexed="63"/>
      </right>
      <top>
        <color indexed="63"/>
      </top>
      <bottom>
        <color indexed="63"/>
      </bottom>
    </border>
    <border>
      <left style="medium">
        <color indexed="18"/>
      </left>
      <right style="medium">
        <color indexed="18"/>
      </right>
      <top style="medium">
        <color indexed="18"/>
      </top>
      <bottom style="thin"/>
    </border>
    <border>
      <left style="medium">
        <color indexed="18"/>
      </left>
      <right style="medium">
        <color indexed="18"/>
      </right>
      <top style="medium">
        <color indexed="18"/>
      </top>
      <bottom style="double">
        <color indexed="18"/>
      </bottom>
    </border>
    <border>
      <left style="double">
        <color indexed="18"/>
      </left>
      <right style="double">
        <color indexed="18"/>
      </right>
      <top style="double">
        <color indexed="18"/>
      </top>
      <bottom style="double">
        <color indexed="18"/>
      </bottom>
    </border>
    <border>
      <left style="medium">
        <color indexed="18"/>
      </left>
      <right>
        <color indexed="63"/>
      </right>
      <top>
        <color indexed="63"/>
      </top>
      <bottom style="medium">
        <color indexed="18"/>
      </bottom>
    </border>
    <border>
      <left style="medium">
        <color indexed="18"/>
      </left>
      <right style="medium">
        <color indexed="18"/>
      </right>
      <top style="medium">
        <color indexed="18"/>
      </top>
      <bottom style="medium">
        <color indexed="18"/>
      </bottom>
    </border>
    <border>
      <left style="double">
        <color indexed="18"/>
      </left>
      <right style="double">
        <color indexed="18"/>
      </right>
      <top style="double">
        <color indexed="18"/>
      </top>
      <bottom>
        <color indexed="63"/>
      </bottom>
    </border>
    <border>
      <left style="double">
        <color indexed="18"/>
      </left>
      <right style="double">
        <color indexed="18"/>
      </right>
      <top style="thin"/>
      <bottom>
        <color indexed="63"/>
      </bottom>
    </border>
    <border>
      <left style="double">
        <color indexed="18"/>
      </left>
      <right style="double">
        <color indexed="18"/>
      </right>
      <top style="thin"/>
      <bottom style="double">
        <color indexed="18"/>
      </bottom>
    </border>
    <border>
      <left style="medium">
        <color indexed="18"/>
      </left>
      <right>
        <color indexed="63"/>
      </right>
      <top style="medium">
        <color indexed="18"/>
      </top>
      <bottom style="thin"/>
    </border>
    <border>
      <left>
        <color indexed="63"/>
      </left>
      <right style="medium">
        <color indexed="18"/>
      </right>
      <top style="medium">
        <color indexed="18"/>
      </top>
      <bottom style="thin"/>
    </border>
    <border>
      <left style="medium">
        <color indexed="18"/>
      </left>
      <right>
        <color indexed="63"/>
      </right>
      <top style="thin"/>
      <bottom style="medium">
        <color indexed="18"/>
      </bottom>
    </border>
    <border>
      <left>
        <color indexed="63"/>
      </left>
      <right style="medium">
        <color indexed="18"/>
      </right>
      <top style="thin"/>
      <bottom style="medium">
        <color indexed="18"/>
      </bottom>
    </border>
    <border>
      <left style="medium"/>
      <right style="thin"/>
      <top style="medium"/>
      <bottom style="medium"/>
    </border>
    <border>
      <left style="thin"/>
      <right style="thin"/>
      <top style="medium"/>
      <bottom style="medium"/>
    </border>
    <border>
      <left style="thin"/>
      <right style="medium"/>
      <top style="medium"/>
      <bottom style="medium"/>
    </border>
    <border>
      <left style="hair"/>
      <right style="hair"/>
      <top style="double"/>
      <bottom>
        <color indexed="63"/>
      </bottom>
    </border>
    <border>
      <left style="hair"/>
      <right>
        <color indexed="63"/>
      </right>
      <top style="double"/>
      <bottom>
        <color indexed="63"/>
      </bottom>
    </border>
    <border>
      <left style="hair"/>
      <right style="double"/>
      <top style="double"/>
      <bottom>
        <color indexed="63"/>
      </bottom>
    </border>
    <border>
      <left style="hair"/>
      <right>
        <color indexed="63"/>
      </right>
      <top style="thin"/>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style="thin"/>
      <bottom style="hair"/>
    </border>
    <border>
      <left style="thin"/>
      <right style="hair"/>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hair"/>
    </border>
    <border>
      <left>
        <color indexed="63"/>
      </left>
      <right style="hair"/>
      <top style="double"/>
      <bottom style="thin"/>
    </border>
    <border>
      <left style="hair"/>
      <right>
        <color indexed="63"/>
      </right>
      <top style="thin"/>
      <bottom style="thin"/>
    </border>
    <border>
      <left>
        <color indexed="63"/>
      </left>
      <right style="hair"/>
      <top style="thin"/>
      <bottom style="thin"/>
    </border>
    <border>
      <left>
        <color indexed="63"/>
      </left>
      <right style="hair"/>
      <top style="thin"/>
      <bottom>
        <color indexed="63"/>
      </bottom>
    </border>
    <border>
      <left>
        <color indexed="63"/>
      </left>
      <right style="hair"/>
      <top>
        <color indexed="63"/>
      </top>
      <bottom style="double"/>
    </border>
    <border>
      <left>
        <color indexed="63"/>
      </left>
      <right style="double"/>
      <top style="hair"/>
      <bottom style="thin"/>
    </border>
    <border>
      <left>
        <color indexed="63"/>
      </left>
      <right style="hair"/>
      <top>
        <color indexed="63"/>
      </top>
      <bottom style="hair"/>
    </border>
    <border>
      <left>
        <color indexed="63"/>
      </left>
      <right style="hair"/>
      <top style="hair"/>
      <bottom style="hair"/>
    </border>
    <border>
      <left>
        <color indexed="63"/>
      </left>
      <right style="hair"/>
      <top style="thin"/>
      <bottom style="double"/>
    </border>
    <border>
      <left style="double"/>
      <right style="hair"/>
      <top style="thin"/>
      <bottom>
        <color indexed="63"/>
      </bottom>
    </border>
    <border>
      <left style="double"/>
      <right style="hair"/>
      <top>
        <color indexed="63"/>
      </top>
      <bottom style="hair"/>
    </border>
    <border>
      <left style="thin"/>
      <right style="hair"/>
      <top style="thin"/>
      <bottom>
        <color indexed="63"/>
      </bottom>
    </border>
    <border>
      <left style="thin"/>
      <right style="hair"/>
      <top>
        <color indexed="63"/>
      </top>
      <bottom style="hair"/>
    </border>
    <border>
      <left style="double"/>
      <right style="hair"/>
      <top>
        <color indexed="63"/>
      </top>
      <bottom style="thin"/>
    </border>
    <border>
      <left style="hair"/>
      <right style="hair"/>
      <top style="thin"/>
      <bottom>
        <color indexed="63"/>
      </bottom>
    </border>
    <border>
      <left style="double"/>
      <right style="hair"/>
      <top>
        <color indexed="63"/>
      </top>
      <bottom style="double"/>
    </border>
    <border>
      <left style="hair"/>
      <right style="thin"/>
      <top style="hair"/>
      <bottom>
        <color indexed="63"/>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1"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75" fillId="0" borderId="3" applyNumberFormat="0" applyFill="0" applyAlignment="0" applyProtection="0"/>
    <xf numFmtId="0" fontId="76" fillId="28" borderId="0" applyNumberFormat="0" applyBorder="0" applyAlignment="0" applyProtection="0"/>
    <xf numFmtId="0" fontId="77" fillId="29" borderId="4" applyNumberFormat="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249" fontId="5" fillId="0" borderId="0" applyFont="0" applyFill="0" applyBorder="0" applyAlignment="0" applyProtection="0"/>
    <xf numFmtId="249" fontId="5" fillId="0" borderId="0" applyFont="0" applyFill="0" applyBorder="0" applyAlignment="0" applyProtection="0"/>
    <xf numFmtId="247" fontId="5" fillId="0" borderId="0" applyFont="0" applyFill="0" applyBorder="0" applyAlignment="0" applyProtection="0"/>
    <xf numFmtId="247" fontId="5"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29" borderId="9" applyNumberFormat="0" applyAlignment="0" applyProtection="0"/>
    <xf numFmtId="0" fontId="8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248" fontId="5" fillId="0" borderId="0" applyFont="0" applyFill="0" applyBorder="0" applyAlignment="0" applyProtection="0"/>
    <xf numFmtId="248" fontId="5" fillId="0" borderId="0" applyFont="0" applyFill="0" applyBorder="0" applyAlignment="0" applyProtection="0"/>
    <xf numFmtId="246" fontId="5" fillId="0" borderId="0" applyFont="0" applyFill="0" applyBorder="0" applyAlignment="0" applyProtection="0"/>
    <xf numFmtId="246" fontId="5" fillId="0" borderId="0" applyFont="0" applyFill="0" applyBorder="0" applyAlignment="0" applyProtection="0"/>
    <xf numFmtId="0" fontId="85" fillId="30" borderId="4" applyNumberFormat="0" applyAlignment="0" applyProtection="0"/>
    <xf numFmtId="0" fontId="5" fillId="0" borderId="0">
      <alignment/>
      <protection/>
    </xf>
    <xf numFmtId="0" fontId="5" fillId="0" borderId="0">
      <alignment/>
      <protection/>
    </xf>
    <xf numFmtId="0" fontId="6" fillId="0" borderId="0">
      <alignment/>
      <protection/>
    </xf>
    <xf numFmtId="0" fontId="7" fillId="0" borderId="0" applyNumberFormat="0" applyFill="0" applyBorder="0" applyAlignment="0" applyProtection="0"/>
    <xf numFmtId="0" fontId="86" fillId="31" borderId="0" applyNumberFormat="0" applyBorder="0" applyAlignment="0" applyProtection="0"/>
    <xf numFmtId="0" fontId="87" fillId="32" borderId="0" applyNumberFormat="0" applyBorder="0" applyAlignment="0" applyProtection="0"/>
  </cellStyleXfs>
  <cellXfs count="2032">
    <xf numFmtId="0" fontId="0" fillId="0" borderId="0" xfId="0" applyAlignment="1">
      <alignment/>
    </xf>
    <xf numFmtId="22" fontId="0" fillId="0" borderId="0" xfId="0" applyNumberFormat="1" applyAlignment="1">
      <alignment/>
    </xf>
    <xf numFmtId="0" fontId="10" fillId="0" borderId="0" xfId="0" applyFont="1" applyAlignment="1">
      <alignment/>
    </xf>
    <xf numFmtId="0" fontId="11" fillId="0" borderId="0" xfId="70" applyFont="1" applyAlignment="1">
      <alignment vertical="center"/>
      <protection/>
    </xf>
    <xf numFmtId="0" fontId="12" fillId="0" borderId="0" xfId="70" applyFont="1" applyAlignment="1">
      <alignment horizontal="center" vertical="center" wrapText="1"/>
      <protection/>
    </xf>
    <xf numFmtId="0" fontId="13" fillId="0" borderId="0" xfId="70" applyFont="1" applyAlignment="1">
      <alignment horizontal="center" vertical="center" wrapText="1"/>
      <protection/>
    </xf>
    <xf numFmtId="0" fontId="14" fillId="0" borderId="0" xfId="70" applyFont="1" applyAlignment="1">
      <alignment horizontal="center" vertical="center" wrapText="1"/>
      <protection/>
    </xf>
    <xf numFmtId="247" fontId="14" fillId="0" borderId="0" xfId="53" applyFont="1" applyAlignment="1">
      <alignment horizontal="center" vertical="center" wrapText="1"/>
    </xf>
    <xf numFmtId="0" fontId="14" fillId="0" borderId="10" xfId="70" applyFont="1" applyBorder="1" applyAlignment="1">
      <alignment horizontal="center" vertical="center" wrapText="1"/>
      <protection/>
    </xf>
    <xf numFmtId="0" fontId="14" fillId="0" borderId="11" xfId="70" applyFont="1" applyBorder="1" applyAlignment="1">
      <alignment horizontal="center" vertical="center" wrapText="1"/>
      <protection/>
    </xf>
    <xf numFmtId="0" fontId="14" fillId="0" borderId="12" xfId="70" applyFont="1" applyBorder="1" applyAlignment="1">
      <alignment horizontal="center" vertical="center" wrapText="1"/>
      <protection/>
    </xf>
    <xf numFmtId="0" fontId="15" fillId="0" borderId="10" xfId="70" applyFont="1" applyBorder="1" applyAlignment="1">
      <alignment horizontal="center" vertical="center" wrapText="1"/>
      <protection/>
    </xf>
    <xf numFmtId="0" fontId="16" fillId="0" borderId="12" xfId="70" applyFont="1" applyBorder="1" applyAlignment="1">
      <alignment horizontal="center" vertical="center" wrapText="1"/>
      <protection/>
    </xf>
    <xf numFmtId="0" fontId="13" fillId="0" borderId="12" xfId="70" applyFont="1" applyBorder="1" applyAlignment="1">
      <alignment horizontal="center" vertical="center" wrapText="1"/>
      <protection/>
    </xf>
    <xf numFmtId="0" fontId="16" fillId="0" borderId="0" xfId="70" applyFont="1" applyAlignment="1">
      <alignment horizontal="center" vertical="center" wrapText="1"/>
      <protection/>
    </xf>
    <xf numFmtId="253" fontId="16" fillId="0" borderId="0" xfId="53" applyNumberFormat="1" applyFont="1" applyAlignment="1">
      <alignment horizontal="center" vertical="center" wrapText="1"/>
    </xf>
    <xf numFmtId="0" fontId="17" fillId="0" borderId="0" xfId="0" applyFont="1" applyFill="1" applyAlignment="1">
      <alignment/>
    </xf>
    <xf numFmtId="0" fontId="17" fillId="0" borderId="13" xfId="0" applyFont="1" applyFill="1" applyBorder="1" applyAlignment="1" applyProtection="1">
      <alignment horizontal="center"/>
      <protection locked="0"/>
    </xf>
    <xf numFmtId="0" fontId="0" fillId="33" borderId="0" xfId="0" applyFont="1" applyFill="1" applyAlignment="1" applyProtection="1">
      <alignment horizontal="center"/>
      <protection locked="0"/>
    </xf>
    <xf numFmtId="0" fontId="0" fillId="33" borderId="0" xfId="0" applyFont="1" applyFill="1" applyAlignment="1" applyProtection="1">
      <alignment/>
      <protection locked="0"/>
    </xf>
    <xf numFmtId="0" fontId="0" fillId="0" borderId="0" xfId="0" applyFont="1" applyAlignment="1">
      <alignment/>
    </xf>
    <xf numFmtId="38" fontId="0" fillId="0" borderId="0" xfId="48" applyFont="1" applyAlignment="1">
      <alignment/>
    </xf>
    <xf numFmtId="0" fontId="17" fillId="0" borderId="14" xfId="0" applyFont="1" applyFill="1" applyBorder="1" applyAlignment="1">
      <alignment horizontal="center"/>
    </xf>
    <xf numFmtId="0" fontId="17" fillId="0" borderId="15" xfId="0" applyFont="1" applyFill="1" applyBorder="1" applyAlignment="1">
      <alignment horizontal="center"/>
    </xf>
    <xf numFmtId="0" fontId="17" fillId="0" borderId="0" xfId="0" applyFont="1" applyFill="1" applyAlignment="1" applyProtection="1">
      <alignment horizontal="center"/>
      <protection locked="0"/>
    </xf>
    <xf numFmtId="0" fontId="17" fillId="0" borderId="16" xfId="0" applyFont="1" applyFill="1" applyBorder="1" applyAlignment="1">
      <alignment horizontal="center"/>
    </xf>
    <xf numFmtId="233" fontId="17" fillId="0" borderId="17" xfId="0" applyNumberFormat="1" applyFont="1" applyFill="1" applyBorder="1" applyAlignment="1" applyProtection="1">
      <alignment horizontal="center"/>
      <protection locked="0"/>
    </xf>
    <xf numFmtId="2" fontId="0" fillId="0" borderId="0" xfId="0" applyNumberFormat="1" applyFont="1" applyAlignment="1">
      <alignment horizontal="right"/>
    </xf>
    <xf numFmtId="2" fontId="0" fillId="0" borderId="0" xfId="0" applyNumberFormat="1" applyFont="1" applyAlignment="1">
      <alignment/>
    </xf>
    <xf numFmtId="2" fontId="0" fillId="0" borderId="0" xfId="0" applyNumberFormat="1" applyFont="1" applyAlignment="1">
      <alignment horizontal="center"/>
    </xf>
    <xf numFmtId="40" fontId="0" fillId="0" borderId="0" xfId="48" applyNumberFormat="1" applyFont="1" applyAlignment="1">
      <alignment horizontal="center"/>
    </xf>
    <xf numFmtId="57" fontId="0" fillId="0" borderId="0" xfId="0" applyNumberFormat="1" applyFont="1" applyAlignment="1">
      <alignment horizontal="center"/>
    </xf>
    <xf numFmtId="0" fontId="20" fillId="0" borderId="0" xfId="0" applyFont="1" applyAlignment="1">
      <alignment/>
    </xf>
    <xf numFmtId="0" fontId="0" fillId="0" borderId="13" xfId="0" applyBorder="1" applyAlignment="1">
      <alignment/>
    </xf>
    <xf numFmtId="0" fontId="0" fillId="33" borderId="0" xfId="0" applyNumberFormat="1" applyFont="1" applyFill="1" applyAlignment="1" applyProtection="1">
      <alignment vertical="center"/>
      <protection locked="0"/>
    </xf>
    <xf numFmtId="0" fontId="19" fillId="33" borderId="0" xfId="0" applyNumberFormat="1" applyFont="1" applyFill="1" applyAlignment="1" applyProtection="1">
      <alignment vertical="center"/>
      <protection locked="0"/>
    </xf>
    <xf numFmtId="57" fontId="0" fillId="0" borderId="0" xfId="48" applyNumberFormat="1" applyFont="1" applyAlignment="1">
      <alignment horizontal="center"/>
    </xf>
    <xf numFmtId="57" fontId="0" fillId="0" borderId="0" xfId="0" applyNumberFormat="1" applyFont="1" applyAlignment="1">
      <alignment/>
    </xf>
    <xf numFmtId="0" fontId="17" fillId="0" borderId="13" xfId="0" applyNumberFormat="1" applyFont="1" applyFill="1" applyBorder="1" applyAlignment="1">
      <alignment horizontal="center"/>
    </xf>
    <xf numFmtId="0" fontId="17" fillId="0" borderId="18" xfId="0" applyFont="1" applyFill="1" applyBorder="1" applyAlignment="1">
      <alignment horizontal="center"/>
    </xf>
    <xf numFmtId="0" fontId="0" fillId="0" borderId="19" xfId="0" applyBorder="1" applyAlignment="1">
      <alignment/>
    </xf>
    <xf numFmtId="233" fontId="17" fillId="0" borderId="20" xfId="0" applyNumberFormat="1" applyFont="1" applyFill="1" applyBorder="1" applyAlignment="1" applyProtection="1">
      <alignment horizontal="center"/>
      <protection locked="0"/>
    </xf>
    <xf numFmtId="0" fontId="22" fillId="0" borderId="21" xfId="0" applyFont="1" applyBorder="1" applyAlignment="1">
      <alignment horizontal="center"/>
    </xf>
    <xf numFmtId="0" fontId="22" fillId="0" borderId="22" xfId="0" applyFont="1" applyFill="1" applyBorder="1" applyAlignment="1">
      <alignment horizontal="center"/>
    </xf>
    <xf numFmtId="0" fontId="22" fillId="0" borderId="23" xfId="0" applyFont="1" applyFill="1" applyBorder="1" applyAlignment="1">
      <alignment horizontal="center"/>
    </xf>
    <xf numFmtId="233" fontId="22" fillId="0" borderId="24" xfId="0" applyNumberFormat="1" applyFont="1" applyFill="1" applyBorder="1" applyAlignment="1" applyProtection="1">
      <alignment horizontal="center"/>
      <protection locked="0"/>
    </xf>
    <xf numFmtId="233" fontId="22" fillId="0" borderId="25" xfId="48" applyNumberFormat="1" applyFont="1" applyBorder="1" applyAlignment="1">
      <alignment/>
    </xf>
    <xf numFmtId="233" fontId="22" fillId="0" borderId="26" xfId="48" applyNumberFormat="1" applyFont="1" applyBorder="1" applyAlignment="1">
      <alignment/>
    </xf>
    <xf numFmtId="233" fontId="22" fillId="0" borderId="27" xfId="0" applyNumberFormat="1" applyFont="1" applyFill="1" applyBorder="1" applyAlignment="1" applyProtection="1">
      <alignment horizontal="center"/>
      <protection locked="0"/>
    </xf>
    <xf numFmtId="233" fontId="22" fillId="0" borderId="28" xfId="48" applyNumberFormat="1" applyFont="1" applyBorder="1" applyAlignment="1">
      <alignment/>
    </xf>
    <xf numFmtId="233" fontId="22" fillId="0" borderId="29" xfId="48" applyNumberFormat="1" applyFont="1" applyBorder="1" applyAlignment="1">
      <alignment/>
    </xf>
    <xf numFmtId="0" fontId="26" fillId="0" borderId="0" xfId="0" applyFont="1" applyAlignment="1">
      <alignment/>
    </xf>
    <xf numFmtId="0" fontId="17" fillId="0" borderId="0" xfId="0" applyFont="1" applyAlignment="1">
      <alignment/>
    </xf>
    <xf numFmtId="0" fontId="21" fillId="0" borderId="0" xfId="0" applyFont="1" applyAlignment="1">
      <alignment/>
    </xf>
    <xf numFmtId="0" fontId="28" fillId="0" borderId="0" xfId="0" applyFont="1" applyFill="1" applyAlignment="1" applyProtection="1">
      <alignment/>
      <protection/>
    </xf>
    <xf numFmtId="0" fontId="28" fillId="0" borderId="0" xfId="0" applyFont="1" applyFill="1" applyAlignment="1">
      <alignment/>
    </xf>
    <xf numFmtId="0" fontId="27" fillId="33" borderId="13" xfId="0" applyFont="1" applyFill="1" applyBorder="1" applyAlignment="1">
      <alignment horizontal="center"/>
    </xf>
    <xf numFmtId="0" fontId="28" fillId="0" borderId="0" xfId="0" applyFont="1" applyAlignment="1">
      <alignment/>
    </xf>
    <xf numFmtId="0" fontId="28" fillId="0" borderId="0" xfId="0" applyFont="1" applyAlignment="1" applyProtection="1">
      <alignment/>
      <protection locked="0"/>
    </xf>
    <xf numFmtId="0" fontId="28" fillId="0" borderId="0" xfId="0" applyFont="1" applyAlignment="1" applyProtection="1">
      <alignment/>
      <protection/>
    </xf>
    <xf numFmtId="0" fontId="27" fillId="0" borderId="0" xfId="0" applyFont="1" applyFill="1" applyAlignment="1">
      <alignment/>
    </xf>
    <xf numFmtId="0" fontId="27" fillId="0" borderId="0" xfId="0" applyFont="1" applyFill="1" applyBorder="1" applyAlignment="1">
      <alignment/>
    </xf>
    <xf numFmtId="0" fontId="27" fillId="0" borderId="0" xfId="0" applyFont="1" applyFill="1" applyAlignment="1">
      <alignment horizontal="right"/>
    </xf>
    <xf numFmtId="0" fontId="27" fillId="0" borderId="0" xfId="0" applyFont="1" applyFill="1" applyBorder="1" applyAlignment="1">
      <alignment horizontal="right"/>
    </xf>
    <xf numFmtId="0" fontId="27" fillId="0" borderId="0" xfId="0" applyFont="1" applyFill="1" applyBorder="1" applyAlignment="1">
      <alignment horizontal="center"/>
    </xf>
    <xf numFmtId="0" fontId="27" fillId="0" borderId="30" xfId="0" applyFont="1" applyFill="1" applyBorder="1" applyAlignment="1">
      <alignment horizontal="left"/>
    </xf>
    <xf numFmtId="0" fontId="27" fillId="0" borderId="13" xfId="0" applyFont="1" applyFill="1" applyBorder="1" applyAlignment="1">
      <alignment horizontal="left"/>
    </xf>
    <xf numFmtId="0" fontId="27" fillId="0" borderId="30" xfId="0" applyFont="1" applyFill="1" applyBorder="1" applyAlignment="1">
      <alignment horizontal="right"/>
    </xf>
    <xf numFmtId="0" fontId="27" fillId="0" borderId="13" xfId="0" applyFont="1" applyFill="1" applyBorder="1" applyAlignment="1">
      <alignment horizontal="right"/>
    </xf>
    <xf numFmtId="189" fontId="27" fillId="0" borderId="0" xfId="0" applyNumberFormat="1" applyFont="1" applyFill="1" applyAlignment="1">
      <alignment/>
    </xf>
    <xf numFmtId="9" fontId="27" fillId="0" borderId="0" xfId="41" applyFont="1" applyFill="1" applyBorder="1" applyAlignment="1">
      <alignment horizontal="center"/>
    </xf>
    <xf numFmtId="10" fontId="27" fillId="0" borderId="0" xfId="0" applyNumberFormat="1" applyFont="1" applyFill="1" applyBorder="1" applyAlignment="1">
      <alignment horizontal="center"/>
    </xf>
    <xf numFmtId="227" fontId="27" fillId="0" borderId="0" xfId="41" applyNumberFormat="1" applyFont="1" applyFill="1" applyBorder="1" applyAlignment="1">
      <alignment horizontal="center"/>
    </xf>
    <xf numFmtId="0" fontId="27" fillId="33" borderId="30" xfId="0" applyFont="1" applyFill="1" applyBorder="1" applyAlignment="1">
      <alignment horizontal="right"/>
    </xf>
    <xf numFmtId="317" fontId="27" fillId="0" borderId="0" xfId="48" applyNumberFormat="1" applyFont="1" applyFill="1" applyAlignment="1">
      <alignment/>
    </xf>
    <xf numFmtId="0" fontId="29" fillId="0" borderId="0" xfId="0" applyFont="1" applyFill="1" applyBorder="1" applyAlignment="1">
      <alignment/>
    </xf>
    <xf numFmtId="232" fontId="27" fillId="0" borderId="0" xfId="0" applyNumberFormat="1" applyFont="1" applyFill="1" applyBorder="1" applyAlignment="1">
      <alignment horizontal="center"/>
    </xf>
    <xf numFmtId="0" fontId="27" fillId="0" borderId="31" xfId="0" applyFont="1" applyFill="1" applyBorder="1" applyAlignment="1">
      <alignment horizontal="right"/>
    </xf>
    <xf numFmtId="0" fontId="27" fillId="0" borderId="32" xfId="0" applyFont="1" applyFill="1" applyBorder="1" applyAlignment="1">
      <alignment horizontal="right"/>
    </xf>
    <xf numFmtId="0" fontId="27" fillId="0" borderId="33" xfId="0" applyFont="1" applyFill="1" applyBorder="1" applyAlignment="1">
      <alignment horizontal="right"/>
    </xf>
    <xf numFmtId="233" fontId="27" fillId="0" borderId="0" xfId="0" applyNumberFormat="1" applyFont="1" applyFill="1" applyBorder="1" applyAlignment="1">
      <alignment horizontal="center"/>
    </xf>
    <xf numFmtId="0" fontId="27" fillId="0" borderId="0" xfId="0" applyFont="1" applyFill="1" applyAlignment="1" applyProtection="1">
      <alignment/>
      <protection locked="0"/>
    </xf>
    <xf numFmtId="0" fontId="27" fillId="0" borderId="33" xfId="0" applyFont="1" applyBorder="1" applyAlignment="1">
      <alignment horizontal="right"/>
    </xf>
    <xf numFmtId="0" fontId="27" fillId="0" borderId="0" xfId="0" applyFont="1" applyBorder="1" applyAlignment="1">
      <alignment/>
    </xf>
    <xf numFmtId="0" fontId="27" fillId="0" borderId="0" xfId="0" applyFont="1" applyBorder="1" applyAlignment="1">
      <alignment horizontal="right"/>
    </xf>
    <xf numFmtId="0" fontId="27" fillId="0" borderId="0" xfId="0" applyFont="1" applyFill="1" applyBorder="1" applyAlignment="1" applyProtection="1">
      <alignment/>
      <protection locked="0"/>
    </xf>
    <xf numFmtId="0" fontId="27" fillId="0" borderId="13" xfId="0" applyFont="1" applyFill="1" applyBorder="1" applyAlignment="1" applyProtection="1">
      <alignment horizontal="right"/>
      <protection locked="0"/>
    </xf>
    <xf numFmtId="0" fontId="27" fillId="0" borderId="0" xfId="0" applyFont="1" applyFill="1" applyBorder="1" applyAlignment="1" applyProtection="1">
      <alignment horizontal="right"/>
      <protection locked="0"/>
    </xf>
    <xf numFmtId="0" fontId="27" fillId="0" borderId="30" xfId="0" applyFont="1" applyFill="1" applyBorder="1" applyAlignment="1" applyProtection="1">
      <alignment horizontal="right"/>
      <protection locked="0"/>
    </xf>
    <xf numFmtId="0" fontId="27" fillId="0" borderId="34" xfId="0" applyFont="1" applyFill="1" applyBorder="1" applyAlignment="1" applyProtection="1">
      <alignment horizontal="right"/>
      <protection locked="0"/>
    </xf>
    <xf numFmtId="0" fontId="27" fillId="0" borderId="34" xfId="0" applyFont="1" applyFill="1" applyBorder="1" applyAlignment="1">
      <alignment horizontal="right"/>
    </xf>
    <xf numFmtId="264" fontId="27" fillId="0" borderId="30" xfId="0" applyNumberFormat="1" applyFont="1" applyFill="1" applyBorder="1" applyAlignment="1">
      <alignment horizontal="right"/>
    </xf>
    <xf numFmtId="178" fontId="27" fillId="0" borderId="30" xfId="0" applyNumberFormat="1" applyFont="1" applyFill="1" applyBorder="1" applyAlignment="1">
      <alignment horizontal="right"/>
    </xf>
    <xf numFmtId="0" fontId="21" fillId="33" borderId="35" xfId="0" applyFont="1" applyFill="1" applyBorder="1" applyAlignment="1">
      <alignment/>
    </xf>
    <xf numFmtId="0" fontId="21" fillId="33" borderId="36" xfId="0" applyFont="1" applyFill="1" applyBorder="1" applyAlignment="1" applyProtection="1">
      <alignment horizontal="centerContinuous"/>
      <protection/>
    </xf>
    <xf numFmtId="0" fontId="21" fillId="33" borderId="36" xfId="0" applyFont="1" applyFill="1" applyBorder="1" applyAlignment="1">
      <alignment/>
    </xf>
    <xf numFmtId="0" fontId="21" fillId="33" borderId="0" xfId="0" applyFont="1" applyFill="1" applyBorder="1" applyAlignment="1">
      <alignment/>
    </xf>
    <xf numFmtId="0" fontId="21" fillId="33" borderId="0" xfId="0" applyFont="1" applyFill="1" applyAlignment="1" applyProtection="1">
      <alignment/>
      <protection locked="0"/>
    </xf>
    <xf numFmtId="0" fontId="21" fillId="0" borderId="0" xfId="0" applyFont="1" applyFill="1" applyBorder="1" applyAlignment="1">
      <alignment/>
    </xf>
    <xf numFmtId="0" fontId="21" fillId="0" borderId="0" xfId="0" applyFont="1" applyBorder="1" applyAlignment="1">
      <alignment/>
    </xf>
    <xf numFmtId="0" fontId="21" fillId="0" borderId="0" xfId="0" applyFont="1" applyAlignment="1">
      <alignment horizontal="center"/>
    </xf>
    <xf numFmtId="0" fontId="24" fillId="0" borderId="37" xfId="0" applyFont="1" applyFill="1" applyBorder="1" applyAlignment="1">
      <alignment horizontal="center" vertical="center"/>
    </xf>
    <xf numFmtId="0" fontId="22" fillId="0" borderId="38" xfId="0" applyFont="1" applyBorder="1" applyAlignment="1">
      <alignment horizontal="left" vertical="center" indent="1"/>
    </xf>
    <xf numFmtId="0" fontId="24" fillId="0" borderId="39" xfId="0" applyFont="1" applyBorder="1" applyAlignment="1">
      <alignment horizontal="left" vertical="center"/>
    </xf>
    <xf numFmtId="0" fontId="24" fillId="0" borderId="40" xfId="0" applyFont="1" applyBorder="1" applyAlignment="1">
      <alignment horizontal="left" vertical="center"/>
    </xf>
    <xf numFmtId="0" fontId="24" fillId="0" borderId="21" xfId="0" applyFont="1" applyFill="1" applyBorder="1" applyAlignment="1">
      <alignment horizontal="center" vertical="center"/>
    </xf>
    <xf numFmtId="0" fontId="22" fillId="0" borderId="38" xfId="0" applyFont="1" applyFill="1" applyBorder="1" applyAlignment="1">
      <alignment horizontal="left" vertical="center" indent="1"/>
    </xf>
    <xf numFmtId="0" fontId="24" fillId="0" borderId="39" xfId="0" applyFont="1" applyFill="1" applyBorder="1" applyAlignment="1">
      <alignment horizontal="left" vertical="center"/>
    </xf>
    <xf numFmtId="0" fontId="24" fillId="0" borderId="40" xfId="0" applyFont="1" applyFill="1" applyBorder="1" applyAlignment="1">
      <alignment horizontal="left" vertical="center"/>
    </xf>
    <xf numFmtId="0" fontId="24" fillId="0" borderId="41" xfId="0" applyFont="1" applyFill="1" applyBorder="1" applyAlignment="1">
      <alignment horizontal="center" vertical="center"/>
    </xf>
    <xf numFmtId="58" fontId="22" fillId="0" borderId="42" xfId="0" applyNumberFormat="1" applyFont="1" applyFill="1" applyBorder="1" applyAlignment="1">
      <alignment horizontal="left" vertical="center" indent="1"/>
    </xf>
    <xf numFmtId="58" fontId="24" fillId="0" borderId="43" xfId="0" applyNumberFormat="1" applyFont="1" applyFill="1" applyBorder="1" applyAlignment="1">
      <alignment horizontal="left" vertical="center"/>
    </xf>
    <xf numFmtId="58" fontId="24" fillId="0" borderId="44" xfId="0" applyNumberFormat="1" applyFont="1" applyFill="1" applyBorder="1" applyAlignment="1">
      <alignment horizontal="left" vertical="center"/>
    </xf>
    <xf numFmtId="0" fontId="24" fillId="0" borderId="24" xfId="0" applyFont="1" applyFill="1" applyBorder="1" applyAlignment="1">
      <alignment horizontal="center" vertical="center"/>
    </xf>
    <xf numFmtId="0" fontId="22" fillId="0" borderId="42" xfId="0" applyFont="1" applyBorder="1" applyAlignment="1">
      <alignment horizontal="left" vertical="center" indent="1"/>
    </xf>
    <xf numFmtId="0" fontId="24" fillId="0" borderId="43" xfId="0" applyFont="1" applyBorder="1" applyAlignment="1">
      <alignment horizontal="left" vertical="center"/>
    </xf>
    <xf numFmtId="0" fontId="24" fillId="0" borderId="44" xfId="0" applyFont="1" applyBorder="1" applyAlignment="1">
      <alignment horizontal="left" vertical="center"/>
    </xf>
    <xf numFmtId="207" fontId="24" fillId="0" borderId="45" xfId="0" applyNumberFormat="1" applyFont="1" applyFill="1" applyBorder="1" applyAlignment="1">
      <alignment horizontal="center" vertical="center"/>
    </xf>
    <xf numFmtId="207" fontId="24" fillId="0" borderId="27" xfId="0" applyNumberFormat="1" applyFont="1" applyFill="1" applyBorder="1" applyAlignment="1">
      <alignment horizontal="center" vertical="center"/>
    </xf>
    <xf numFmtId="10" fontId="22" fillId="0" borderId="46" xfId="41" applyNumberFormat="1" applyFont="1" applyFill="1" applyBorder="1" applyAlignment="1">
      <alignment horizontal="left" vertical="center" shrinkToFit="1"/>
    </xf>
    <xf numFmtId="0" fontId="30" fillId="0" borderId="47" xfId="0" applyFont="1" applyBorder="1" applyAlignment="1">
      <alignment horizontal="center" vertical="center"/>
    </xf>
    <xf numFmtId="0" fontId="24" fillId="0" borderId="48" xfId="0" applyFont="1" applyBorder="1" applyAlignment="1">
      <alignment horizontal="center" vertical="center"/>
    </xf>
    <xf numFmtId="0" fontId="24" fillId="0" borderId="49" xfId="0" applyNumberFormat="1" applyFont="1" applyBorder="1" applyAlignment="1">
      <alignment horizontal="center" vertical="center"/>
    </xf>
    <xf numFmtId="0" fontId="24" fillId="0" borderId="50" xfId="0" applyFont="1" applyBorder="1" applyAlignment="1">
      <alignment horizontal="center" vertical="center"/>
    </xf>
    <xf numFmtId="0" fontId="24" fillId="0" borderId="51" xfId="0" applyFont="1" applyBorder="1" applyAlignment="1">
      <alignment horizontal="center" vertical="center"/>
    </xf>
    <xf numFmtId="0" fontId="24" fillId="0" borderId="52" xfId="0" applyFont="1" applyBorder="1" applyAlignment="1">
      <alignment horizontal="center" vertical="center"/>
    </xf>
    <xf numFmtId="0" fontId="24" fillId="0" borderId="47" xfId="0" applyFont="1" applyBorder="1" applyAlignment="1">
      <alignment horizontal="center" vertical="center"/>
    </xf>
    <xf numFmtId="0" fontId="24" fillId="0" borderId="53" xfId="0" applyFont="1" applyBorder="1" applyAlignment="1">
      <alignment horizontal="center" vertical="center"/>
    </xf>
    <xf numFmtId="0" fontId="24" fillId="0" borderId="16" xfId="0" applyFont="1" applyBorder="1" applyAlignment="1">
      <alignment horizontal="center" vertical="center"/>
    </xf>
    <xf numFmtId="0" fontId="24" fillId="0" borderId="54" xfId="0" applyFont="1" applyBorder="1" applyAlignment="1">
      <alignment/>
    </xf>
    <xf numFmtId="0" fontId="30" fillId="0" borderId="55" xfId="0" applyFont="1" applyBorder="1" applyAlignment="1">
      <alignment horizontal="center"/>
    </xf>
    <xf numFmtId="1" fontId="21" fillId="0" borderId="54" xfId="0" applyNumberFormat="1" applyFont="1" applyBorder="1" applyAlignment="1">
      <alignment horizontal="center"/>
    </xf>
    <xf numFmtId="267" fontId="20" fillId="0" borderId="56" xfId="0" applyNumberFormat="1" applyFont="1" applyBorder="1" applyAlignment="1">
      <alignment horizontal="right"/>
    </xf>
    <xf numFmtId="270" fontId="20" fillId="0" borderId="57" xfId="0" applyNumberFormat="1" applyFont="1" applyBorder="1" applyAlignment="1">
      <alignment horizontal="right"/>
    </xf>
    <xf numFmtId="0" fontId="31" fillId="0" borderId="58" xfId="0" applyFont="1" applyFill="1" applyBorder="1" applyAlignment="1">
      <alignment horizontal="center"/>
    </xf>
    <xf numFmtId="0" fontId="24" fillId="0" borderId="59" xfId="0" applyFont="1" applyBorder="1" applyAlignment="1">
      <alignment horizontal="center" vertical="center" wrapText="1"/>
    </xf>
    <xf numFmtId="0" fontId="24" fillId="0" borderId="25" xfId="0" applyFont="1" applyBorder="1" applyAlignment="1">
      <alignment/>
    </xf>
    <xf numFmtId="0" fontId="30" fillId="0" borderId="42" xfId="0" applyFont="1" applyBorder="1" applyAlignment="1">
      <alignment horizontal="center"/>
    </xf>
    <xf numFmtId="1" fontId="21" fillId="0" borderId="25" xfId="0" applyNumberFormat="1" applyFont="1" applyBorder="1" applyAlignment="1">
      <alignment horizontal="center"/>
    </xf>
    <xf numFmtId="267" fontId="20" fillId="0" borderId="26" xfId="0" applyNumberFormat="1" applyFont="1" applyBorder="1" applyAlignment="1">
      <alignment horizontal="right"/>
    </xf>
    <xf numFmtId="270" fontId="20" fillId="0" borderId="60" xfId="0" applyNumberFormat="1" applyFont="1" applyBorder="1" applyAlignment="1">
      <alignment horizontal="right"/>
    </xf>
    <xf numFmtId="274" fontId="31" fillId="0" borderId="58" xfId="48" applyNumberFormat="1" applyFont="1" applyFill="1" applyBorder="1" applyAlignment="1">
      <alignment horizontal="center" vertical="center"/>
    </xf>
    <xf numFmtId="0" fontId="21" fillId="0" borderId="0" xfId="0" applyFont="1" applyAlignment="1" applyProtection="1">
      <alignment horizontal="center"/>
      <protection locked="0"/>
    </xf>
    <xf numFmtId="0" fontId="21" fillId="0" borderId="0" xfId="0" applyFont="1" applyAlignment="1" applyProtection="1">
      <alignment/>
      <protection locked="0"/>
    </xf>
    <xf numFmtId="0" fontId="20" fillId="0" borderId="61" xfId="0" applyFont="1" applyBorder="1" applyAlignment="1">
      <alignment horizontal="left" indent="1"/>
    </xf>
    <xf numFmtId="3" fontId="21" fillId="0" borderId="25" xfId="0" applyNumberFormat="1" applyFont="1" applyBorder="1" applyAlignment="1">
      <alignment horizontal="center"/>
    </xf>
    <xf numFmtId="0" fontId="20" fillId="0" borderId="62" xfId="0" applyFont="1" applyBorder="1" applyAlignment="1">
      <alignment horizontal="left" indent="1"/>
    </xf>
    <xf numFmtId="298" fontId="20" fillId="0" borderId="63" xfId="48" applyNumberFormat="1" applyFont="1" applyFill="1" applyBorder="1" applyAlignment="1">
      <alignment horizontal="center"/>
    </xf>
    <xf numFmtId="232" fontId="20" fillId="0" borderId="61" xfId="0" applyNumberFormat="1" applyFont="1" applyBorder="1" applyAlignment="1">
      <alignment horizontal="left" indent="1"/>
    </xf>
    <xf numFmtId="232" fontId="20" fillId="0" borderId="62" xfId="0" applyNumberFormat="1" applyFont="1" applyBorder="1" applyAlignment="1">
      <alignment horizontal="left" indent="1"/>
    </xf>
    <xf numFmtId="0" fontId="31" fillId="0" borderId="64" xfId="0" applyFont="1" applyFill="1" applyBorder="1" applyAlignment="1" applyProtection="1">
      <alignment horizontal="center"/>
      <protection locked="0"/>
    </xf>
    <xf numFmtId="303" fontId="20" fillId="0" borderId="63" xfId="0" applyNumberFormat="1" applyFont="1" applyFill="1" applyBorder="1" applyAlignment="1">
      <alignment horizontal="center"/>
    </xf>
    <xf numFmtId="0" fontId="31" fillId="0" borderId="64" xfId="0" applyFont="1" applyFill="1" applyBorder="1" applyAlignment="1">
      <alignment horizontal="center"/>
    </xf>
    <xf numFmtId="227" fontId="20" fillId="0" borderId="61" xfId="41" applyNumberFormat="1" applyFont="1" applyBorder="1" applyAlignment="1">
      <alignment horizontal="left" indent="1"/>
    </xf>
    <xf numFmtId="227" fontId="20" fillId="0" borderId="62" xfId="41" applyNumberFormat="1" applyFont="1" applyBorder="1" applyAlignment="1">
      <alignment horizontal="left" indent="1"/>
    </xf>
    <xf numFmtId="10" fontId="20" fillId="0" borderId="63" xfId="41" applyNumberFormat="1" applyFont="1" applyFill="1" applyBorder="1" applyAlignment="1">
      <alignment horizontal="center"/>
    </xf>
    <xf numFmtId="3" fontId="20" fillId="0" borderId="61" xfId="0" applyNumberFormat="1" applyFont="1" applyBorder="1" applyAlignment="1">
      <alignment horizontal="left" indent="1"/>
    </xf>
    <xf numFmtId="3" fontId="20" fillId="0" borderId="62" xfId="0" applyNumberFormat="1" applyFont="1" applyBorder="1" applyAlignment="1">
      <alignment horizontal="left" indent="1"/>
    </xf>
    <xf numFmtId="274" fontId="31" fillId="0" borderId="64" xfId="48" applyNumberFormat="1" applyFont="1" applyFill="1" applyBorder="1" applyAlignment="1">
      <alignment horizontal="center" vertical="center"/>
    </xf>
    <xf numFmtId="0" fontId="21" fillId="0" borderId="0" xfId="0" applyFont="1" applyFill="1" applyAlignment="1">
      <alignment/>
    </xf>
    <xf numFmtId="0" fontId="24" fillId="0" borderId="65" xfId="0" applyFont="1" applyBorder="1" applyAlignment="1">
      <alignment/>
    </xf>
    <xf numFmtId="0" fontId="30" fillId="0" borderId="66" xfId="0" applyFont="1" applyBorder="1" applyAlignment="1">
      <alignment horizontal="center"/>
    </xf>
    <xf numFmtId="3" fontId="20" fillId="0" borderId="67" xfId="0" applyNumberFormat="1" applyFont="1" applyBorder="1" applyAlignment="1">
      <alignment horizontal="left" indent="1"/>
    </xf>
    <xf numFmtId="3" fontId="21" fillId="0" borderId="51" xfId="0" applyNumberFormat="1" applyFont="1" applyBorder="1" applyAlignment="1">
      <alignment horizontal="center"/>
    </xf>
    <xf numFmtId="267" fontId="20" fillId="0" borderId="52" xfId="0" applyNumberFormat="1" applyFont="1" applyBorder="1" applyAlignment="1">
      <alignment horizontal="right"/>
    </xf>
    <xf numFmtId="3" fontId="20" fillId="0" borderId="47" xfId="0" applyNumberFormat="1" applyFont="1" applyBorder="1" applyAlignment="1">
      <alignment horizontal="left" indent="1"/>
    </xf>
    <xf numFmtId="270" fontId="20" fillId="0" borderId="53" xfId="0" applyNumberFormat="1" applyFont="1" applyBorder="1" applyAlignment="1">
      <alignment horizontal="right"/>
    </xf>
    <xf numFmtId="274" fontId="20" fillId="0" borderId="58" xfId="0" applyNumberFormat="1" applyFont="1" applyFill="1" applyBorder="1" applyAlignment="1">
      <alignment horizontal="center"/>
    </xf>
    <xf numFmtId="0" fontId="24" fillId="0" borderId="68" xfId="0" applyFont="1" applyBorder="1" applyAlignment="1">
      <alignment/>
    </xf>
    <xf numFmtId="0" fontId="30" fillId="0" borderId="69" xfId="0" applyFont="1" applyBorder="1" applyAlignment="1">
      <alignment horizontal="center"/>
    </xf>
    <xf numFmtId="3" fontId="20" fillId="0" borderId="70" xfId="0" applyNumberFormat="1" applyFont="1" applyBorder="1" applyAlignment="1">
      <alignment horizontal="left" indent="1"/>
    </xf>
    <xf numFmtId="3" fontId="21" fillId="0" borderId="68" xfId="0" applyNumberFormat="1" applyFont="1" applyBorder="1" applyAlignment="1">
      <alignment horizontal="center"/>
    </xf>
    <xf numFmtId="267" fontId="20" fillId="0" borderId="71" xfId="0" applyNumberFormat="1" applyFont="1" applyBorder="1" applyAlignment="1">
      <alignment horizontal="right"/>
    </xf>
    <xf numFmtId="3" fontId="20" fillId="0" borderId="72" xfId="0" applyNumberFormat="1" applyFont="1" applyBorder="1" applyAlignment="1">
      <alignment horizontal="left" indent="1"/>
    </xf>
    <xf numFmtId="267" fontId="20" fillId="0" borderId="73" xfId="0" applyNumberFormat="1" applyFont="1" applyBorder="1" applyAlignment="1">
      <alignment horizontal="right"/>
    </xf>
    <xf numFmtId="0" fontId="21" fillId="0" borderId="58" xfId="0" applyFont="1" applyFill="1" applyBorder="1" applyAlignment="1">
      <alignment/>
    </xf>
    <xf numFmtId="267" fontId="20" fillId="0" borderId="60" xfId="41" applyNumberFormat="1" applyFont="1" applyBorder="1" applyAlignment="1">
      <alignment horizontal="right"/>
    </xf>
    <xf numFmtId="267" fontId="20" fillId="0" borderId="60" xfId="0" applyNumberFormat="1" applyFont="1" applyBorder="1" applyAlignment="1">
      <alignment horizontal="right"/>
    </xf>
    <xf numFmtId="0" fontId="30" fillId="0" borderId="74" xfId="0" applyFont="1" applyBorder="1" applyAlignment="1">
      <alignment horizontal="center"/>
    </xf>
    <xf numFmtId="3" fontId="20" fillId="0" borderId="75" xfId="0" applyNumberFormat="1" applyFont="1" applyBorder="1" applyAlignment="1">
      <alignment horizontal="left" indent="1"/>
    </xf>
    <xf numFmtId="3" fontId="21" fillId="0" borderId="65" xfId="0" applyNumberFormat="1" applyFont="1" applyBorder="1" applyAlignment="1">
      <alignment horizontal="center"/>
    </xf>
    <xf numFmtId="267" fontId="20" fillId="0" borderId="76" xfId="0" applyNumberFormat="1" applyFont="1" applyBorder="1" applyAlignment="1">
      <alignment horizontal="right"/>
    </xf>
    <xf numFmtId="3" fontId="20" fillId="0" borderId="77" xfId="0" applyNumberFormat="1" applyFont="1" applyBorder="1" applyAlignment="1">
      <alignment horizontal="left" indent="1"/>
    </xf>
    <xf numFmtId="267" fontId="20" fillId="0" borderId="66" xfId="0" applyNumberFormat="1" applyFont="1" applyBorder="1" applyAlignment="1">
      <alignment horizontal="right"/>
    </xf>
    <xf numFmtId="267" fontId="20" fillId="0" borderId="56" xfId="0" applyNumberFormat="1" applyFont="1" applyBorder="1" applyAlignment="1">
      <alignment horizontal="right"/>
    </xf>
    <xf numFmtId="267" fontId="20" fillId="0" borderId="57" xfId="0" applyNumberFormat="1" applyFont="1" applyBorder="1" applyAlignment="1">
      <alignment horizontal="right"/>
    </xf>
    <xf numFmtId="0" fontId="24" fillId="0" borderId="78" xfId="0" applyFont="1" applyBorder="1" applyAlignment="1">
      <alignment/>
    </xf>
    <xf numFmtId="0" fontId="30" fillId="0" borderId="79" xfId="0" applyFont="1" applyBorder="1" applyAlignment="1">
      <alignment horizontal="center"/>
    </xf>
    <xf numFmtId="267" fontId="20" fillId="0" borderId="80" xfId="0" applyNumberFormat="1" applyFont="1" applyBorder="1" applyAlignment="1">
      <alignment horizontal="right"/>
    </xf>
    <xf numFmtId="267" fontId="20" fillId="0" borderId="79" xfId="0" applyNumberFormat="1" applyFont="1" applyBorder="1" applyAlignment="1">
      <alignment horizontal="right"/>
    </xf>
    <xf numFmtId="0" fontId="21" fillId="0" borderId="0" xfId="0" applyFont="1" applyBorder="1" applyAlignment="1">
      <alignment horizontal="center"/>
    </xf>
    <xf numFmtId="267" fontId="20" fillId="0" borderId="26" xfId="0" applyNumberFormat="1" applyFont="1" applyBorder="1" applyAlignment="1">
      <alignment horizontal="right"/>
    </xf>
    <xf numFmtId="270" fontId="20" fillId="0" borderId="60" xfId="0" applyNumberFormat="1" applyFont="1" applyBorder="1" applyAlignment="1">
      <alignment horizontal="right"/>
    </xf>
    <xf numFmtId="232" fontId="20" fillId="0" borderId="75" xfId="0" applyNumberFormat="1" applyFont="1" applyBorder="1" applyAlignment="1">
      <alignment horizontal="left" indent="1"/>
    </xf>
    <xf numFmtId="1" fontId="21" fillId="0" borderId="81" xfId="0" applyNumberFormat="1" applyFont="1" applyBorder="1" applyAlignment="1">
      <alignment horizontal="center"/>
    </xf>
    <xf numFmtId="232" fontId="20" fillId="0" borderId="77" xfId="0" applyNumberFormat="1" applyFont="1" applyBorder="1" applyAlignment="1">
      <alignment horizontal="left" indent="1"/>
    </xf>
    <xf numFmtId="267" fontId="20" fillId="0" borderId="66" xfId="41" applyNumberFormat="1" applyFont="1" applyBorder="1" applyAlignment="1">
      <alignment horizontal="right"/>
    </xf>
    <xf numFmtId="267" fontId="20" fillId="0" borderId="82" xfId="0" applyNumberFormat="1" applyFont="1" applyBorder="1" applyAlignment="1">
      <alignment horizontal="right" vertical="center"/>
    </xf>
    <xf numFmtId="267" fontId="20" fillId="0" borderId="83" xfId="0" applyNumberFormat="1" applyFont="1" applyBorder="1" applyAlignment="1">
      <alignment horizontal="right" vertical="center"/>
    </xf>
    <xf numFmtId="0" fontId="21" fillId="0" borderId="84" xfId="0" applyNumberFormat="1" applyFont="1" applyFill="1" applyBorder="1" applyAlignment="1">
      <alignment vertical="top" wrapText="1"/>
    </xf>
    <xf numFmtId="0" fontId="30" fillId="0" borderId="85" xfId="0" applyFont="1" applyBorder="1" applyAlignment="1">
      <alignment horizontal="center" vertical="center"/>
    </xf>
    <xf numFmtId="0" fontId="24" fillId="0" borderId="86" xfId="0" applyNumberFormat="1" applyFont="1" applyBorder="1" applyAlignment="1">
      <alignment horizontal="center" vertical="center"/>
    </xf>
    <xf numFmtId="0" fontId="21" fillId="0" borderId="50" xfId="0" applyFont="1" applyBorder="1" applyAlignment="1">
      <alignment horizontal="center" vertical="center"/>
    </xf>
    <xf numFmtId="0" fontId="21" fillId="0" borderId="48" xfId="0" applyFont="1" applyBorder="1" applyAlignment="1">
      <alignment horizontal="center" vertical="center"/>
    </xf>
    <xf numFmtId="0" fontId="21" fillId="0" borderId="87" xfId="0" applyFont="1" applyBorder="1" applyAlignment="1">
      <alignment horizontal="center" vertical="center"/>
    </xf>
    <xf numFmtId="0" fontId="21" fillId="0" borderId="85" xfId="0" applyFont="1" applyBorder="1" applyAlignment="1">
      <alignment horizontal="center" vertical="center"/>
    </xf>
    <xf numFmtId="0" fontId="21" fillId="0" borderId="88" xfId="0" applyFont="1" applyBorder="1" applyAlignment="1">
      <alignment horizontal="center" vertical="center"/>
    </xf>
    <xf numFmtId="0" fontId="21" fillId="0" borderId="16" xfId="0" applyFont="1" applyBorder="1" applyAlignment="1">
      <alignment horizontal="center" vertical="center"/>
    </xf>
    <xf numFmtId="3" fontId="20" fillId="0" borderId="89" xfId="0" applyNumberFormat="1" applyFont="1" applyBorder="1" applyAlignment="1">
      <alignment horizontal="left" indent="1" shrinkToFit="1"/>
    </xf>
    <xf numFmtId="3" fontId="21" fillId="0" borderId="54" xfId="0" applyNumberFormat="1" applyFont="1" applyBorder="1" applyAlignment="1">
      <alignment horizontal="center"/>
    </xf>
    <xf numFmtId="3" fontId="20" fillId="0" borderId="90" xfId="0" applyNumberFormat="1" applyFont="1" applyBorder="1" applyAlignment="1">
      <alignment horizontal="left" indent="1" shrinkToFit="1"/>
    </xf>
    <xf numFmtId="267" fontId="20" fillId="0" borderId="63" xfId="0" applyNumberFormat="1" applyFont="1" applyBorder="1" applyAlignment="1">
      <alignment horizontal="right"/>
    </xf>
    <xf numFmtId="0" fontId="20" fillId="0" borderId="61" xfId="0" applyFont="1" applyBorder="1" applyAlignment="1">
      <alignment horizontal="left" indent="1" shrinkToFit="1"/>
    </xf>
    <xf numFmtId="0" fontId="20" fillId="0" borderId="62" xfId="0" applyFont="1" applyBorder="1" applyAlignment="1">
      <alignment horizontal="left" indent="1" shrinkToFit="1"/>
    </xf>
    <xf numFmtId="232" fontId="20" fillId="0" borderId="61" xfId="0" applyNumberFormat="1" applyFont="1" applyBorder="1" applyAlignment="1">
      <alignment horizontal="left" indent="1" shrinkToFit="1"/>
    </xf>
    <xf numFmtId="232" fontId="20" fillId="0" borderId="62" xfId="0" applyNumberFormat="1" applyFont="1" applyBorder="1" applyAlignment="1">
      <alignment horizontal="left" indent="1" shrinkToFit="1"/>
    </xf>
    <xf numFmtId="3" fontId="20" fillId="0" borderId="75" xfId="0" applyNumberFormat="1" applyFont="1" applyBorder="1" applyAlignment="1">
      <alignment horizontal="left" indent="1" shrinkToFit="1"/>
    </xf>
    <xf numFmtId="3" fontId="20" fillId="0" borderId="77" xfId="0" applyNumberFormat="1" applyFont="1" applyBorder="1" applyAlignment="1">
      <alignment horizontal="left" indent="1" shrinkToFit="1"/>
    </xf>
    <xf numFmtId="270" fontId="20" fillId="0" borderId="66" xfId="0" applyNumberFormat="1" applyFont="1" applyBorder="1" applyAlignment="1">
      <alignment horizontal="right"/>
    </xf>
    <xf numFmtId="267" fontId="20" fillId="0" borderId="91" xfId="0" applyNumberFormat="1" applyFont="1" applyBorder="1" applyAlignment="1">
      <alignment horizontal="right"/>
    </xf>
    <xf numFmtId="3" fontId="21" fillId="0" borderId="92" xfId="0" applyNumberFormat="1" applyFont="1" applyBorder="1" applyAlignment="1">
      <alignment horizontal="left"/>
    </xf>
    <xf numFmtId="3" fontId="20" fillId="0" borderId="93" xfId="0" applyNumberFormat="1" applyFont="1" applyBorder="1" applyAlignment="1">
      <alignment horizontal="left"/>
    </xf>
    <xf numFmtId="3" fontId="20" fillId="0" borderId="94" xfId="0" applyNumberFormat="1" applyFont="1" applyBorder="1" applyAlignment="1">
      <alignment horizontal="left"/>
    </xf>
    <xf numFmtId="2" fontId="20" fillId="0" borderId="58" xfId="0" applyNumberFormat="1" applyFont="1" applyBorder="1" applyAlignment="1">
      <alignment horizontal="right"/>
    </xf>
    <xf numFmtId="233" fontId="20" fillId="0" borderId="89" xfId="0" applyNumberFormat="1" applyFont="1" applyBorder="1" applyAlignment="1">
      <alignment horizontal="left" indent="1"/>
    </xf>
    <xf numFmtId="233" fontId="20" fillId="0" borderId="90" xfId="0" applyNumberFormat="1" applyFont="1" applyBorder="1" applyAlignment="1">
      <alignment horizontal="left" indent="1"/>
    </xf>
    <xf numFmtId="0" fontId="30" fillId="0" borderId="79" xfId="0" applyFont="1" applyBorder="1" applyAlignment="1">
      <alignment horizontal="center" vertical="center"/>
    </xf>
    <xf numFmtId="233" fontId="20" fillId="0" borderId="61" xfId="0" applyNumberFormat="1" applyFont="1" applyBorder="1" applyAlignment="1">
      <alignment horizontal="left" indent="1"/>
    </xf>
    <xf numFmtId="233" fontId="21" fillId="0" borderId="43" xfId="0" applyNumberFormat="1" applyFont="1" applyBorder="1" applyAlignment="1">
      <alignment horizontal="left"/>
    </xf>
    <xf numFmtId="233" fontId="20" fillId="0" borderId="44" xfId="0" applyNumberFormat="1" applyFont="1" applyBorder="1" applyAlignment="1">
      <alignment horizontal="left"/>
    </xf>
    <xf numFmtId="233" fontId="20" fillId="0" borderId="62" xfId="0" applyNumberFormat="1" applyFont="1" applyBorder="1" applyAlignment="1">
      <alignment horizontal="left" indent="1"/>
    </xf>
    <xf numFmtId="233" fontId="20" fillId="0" borderId="95" xfId="0" applyNumberFormat="1" applyFont="1" applyBorder="1" applyAlignment="1">
      <alignment horizontal="left"/>
    </xf>
    <xf numFmtId="233" fontId="20" fillId="0" borderId="75" xfId="0" applyNumberFormat="1" applyFont="1" applyBorder="1" applyAlignment="1">
      <alignment horizontal="left" indent="1"/>
    </xf>
    <xf numFmtId="1" fontId="21" fillId="0" borderId="65" xfId="0" applyNumberFormat="1" applyFont="1" applyBorder="1" applyAlignment="1">
      <alignment horizontal="center"/>
    </xf>
    <xf numFmtId="233" fontId="20" fillId="0" borderId="77" xfId="0" applyNumberFormat="1" applyFont="1" applyBorder="1" applyAlignment="1">
      <alignment horizontal="left" indent="1"/>
    </xf>
    <xf numFmtId="267" fontId="20" fillId="0" borderId="96" xfId="0" applyNumberFormat="1" applyFont="1" applyBorder="1" applyAlignment="1">
      <alignment horizontal="right"/>
    </xf>
    <xf numFmtId="270" fontId="20" fillId="0" borderId="73" xfId="0" applyNumberFormat="1" applyFont="1" applyBorder="1" applyAlignment="1">
      <alignment horizontal="right"/>
    </xf>
    <xf numFmtId="3" fontId="20" fillId="0" borderId="61" xfId="0" applyNumberFormat="1" applyFont="1" applyBorder="1" applyAlignment="1">
      <alignment horizontal="left" indent="1" shrinkToFit="1"/>
    </xf>
    <xf numFmtId="3" fontId="20" fillId="0" borderId="62" xfId="0" applyNumberFormat="1" applyFont="1" applyBorder="1" applyAlignment="1">
      <alignment horizontal="left" indent="1" shrinkToFit="1"/>
    </xf>
    <xf numFmtId="267" fontId="20" fillId="0" borderId="58" xfId="0" applyNumberFormat="1" applyFont="1" applyBorder="1" applyAlignment="1">
      <alignment horizontal="right"/>
    </xf>
    <xf numFmtId="0" fontId="21" fillId="0" borderId="25" xfId="0" applyFont="1" applyBorder="1" applyAlignment="1">
      <alignment horizontal="center"/>
    </xf>
    <xf numFmtId="0" fontId="24" fillId="0" borderId="78" xfId="0" applyFont="1" applyBorder="1" applyAlignment="1">
      <alignment horizontal="left" vertical="center"/>
    </xf>
    <xf numFmtId="233" fontId="20" fillId="0" borderId="65" xfId="0" applyNumberFormat="1" applyFont="1" applyBorder="1" applyAlignment="1">
      <alignment horizontal="center" shrinkToFit="1"/>
    </xf>
    <xf numFmtId="267" fontId="20" fillId="0" borderId="76" xfId="0" applyNumberFormat="1" applyFont="1" applyBorder="1" applyAlignment="1">
      <alignment horizontal="right"/>
    </xf>
    <xf numFmtId="3" fontId="20" fillId="0" borderId="62" xfId="0" applyNumberFormat="1" applyFont="1" applyBorder="1" applyAlignment="1">
      <alignment horizontal="left" indent="1" shrinkToFit="1"/>
    </xf>
    <xf numFmtId="267" fontId="20" fillId="0" borderId="65" xfId="0" applyNumberFormat="1" applyFont="1" applyBorder="1" applyAlignment="1">
      <alignment horizontal="right"/>
    </xf>
    <xf numFmtId="267" fontId="20" fillId="0" borderId="91" xfId="0" applyNumberFormat="1" applyFont="1" applyBorder="1" applyAlignment="1">
      <alignment horizontal="right"/>
    </xf>
    <xf numFmtId="0" fontId="20" fillId="0" borderId="70" xfId="0" applyNumberFormat="1" applyFont="1" applyBorder="1" applyAlignment="1">
      <alignment horizontal="left" indent="1" shrinkToFit="1"/>
    </xf>
    <xf numFmtId="0" fontId="21" fillId="0" borderId="68" xfId="0" applyNumberFormat="1" applyFont="1" applyBorder="1" applyAlignment="1">
      <alignment horizontal="center"/>
    </xf>
    <xf numFmtId="0" fontId="20" fillId="0" borderId="72" xfId="0" applyNumberFormat="1" applyFont="1" applyBorder="1" applyAlignment="1">
      <alignment horizontal="left" indent="1" shrinkToFit="1"/>
    </xf>
    <xf numFmtId="267" fontId="20" fillId="0" borderId="97" xfId="0" applyNumberFormat="1" applyFont="1" applyBorder="1" applyAlignment="1">
      <alignment horizontal="right"/>
    </xf>
    <xf numFmtId="205" fontId="20" fillId="0" borderId="61" xfId="0" applyNumberFormat="1" applyFont="1" applyBorder="1" applyAlignment="1">
      <alignment horizontal="left" indent="1" shrinkToFit="1"/>
    </xf>
    <xf numFmtId="205" fontId="20" fillId="0" borderId="62" xfId="0" applyNumberFormat="1" applyFont="1" applyBorder="1" applyAlignment="1">
      <alignment horizontal="left" indent="1" shrinkToFit="1"/>
    </xf>
    <xf numFmtId="267" fontId="20" fillId="0" borderId="98" xfId="0" applyNumberFormat="1" applyFont="1" applyBorder="1" applyAlignment="1">
      <alignment horizontal="right"/>
    </xf>
    <xf numFmtId="0" fontId="20" fillId="0" borderId="75" xfId="0" applyNumberFormat="1" applyFont="1" applyBorder="1" applyAlignment="1">
      <alignment horizontal="left" indent="1" shrinkToFit="1"/>
    </xf>
    <xf numFmtId="38" fontId="21" fillId="0" borderId="65" xfId="48" applyFont="1" applyBorder="1" applyAlignment="1">
      <alignment horizontal="center"/>
    </xf>
    <xf numFmtId="0" fontId="20" fillId="0" borderId="77" xfId="0" applyNumberFormat="1" applyFont="1" applyBorder="1" applyAlignment="1">
      <alignment horizontal="left" indent="1" shrinkToFit="1"/>
    </xf>
    <xf numFmtId="9" fontId="20" fillId="0" borderId="89" xfId="41" applyFont="1" applyBorder="1" applyAlignment="1">
      <alignment horizontal="left" indent="1" shrinkToFit="1"/>
    </xf>
    <xf numFmtId="0" fontId="21" fillId="0" borderId="54" xfId="41" applyNumberFormat="1" applyFont="1" applyBorder="1" applyAlignment="1">
      <alignment horizontal="center"/>
    </xf>
    <xf numFmtId="267" fontId="20" fillId="0" borderId="56" xfId="41" applyNumberFormat="1" applyFont="1" applyBorder="1" applyAlignment="1">
      <alignment horizontal="right"/>
    </xf>
    <xf numFmtId="9" fontId="20" fillId="0" borderId="90" xfId="41" applyFont="1" applyBorder="1" applyAlignment="1">
      <alignment horizontal="left" indent="1" shrinkToFit="1"/>
    </xf>
    <xf numFmtId="267" fontId="20" fillId="0" borderId="57" xfId="41" applyNumberFormat="1" applyFont="1" applyBorder="1" applyAlignment="1">
      <alignment horizontal="right"/>
    </xf>
    <xf numFmtId="0" fontId="24" fillId="0" borderId="28" xfId="0" applyFont="1" applyBorder="1" applyAlignment="1">
      <alignment/>
    </xf>
    <xf numFmtId="0" fontId="30" fillId="0" borderId="99" xfId="0" applyFont="1" applyBorder="1" applyAlignment="1">
      <alignment horizontal="center"/>
    </xf>
    <xf numFmtId="9" fontId="20" fillId="0" borderId="100" xfId="41" applyFont="1" applyBorder="1" applyAlignment="1">
      <alignment horizontal="left" indent="1" shrinkToFit="1"/>
    </xf>
    <xf numFmtId="0" fontId="21" fillId="0" borderId="28" xfId="41" applyNumberFormat="1" applyFont="1" applyBorder="1" applyAlignment="1">
      <alignment horizontal="center"/>
    </xf>
    <xf numFmtId="267" fontId="20" fillId="0" borderId="29" xfId="41" applyNumberFormat="1" applyFont="1" applyBorder="1" applyAlignment="1">
      <alignment horizontal="right"/>
    </xf>
    <xf numFmtId="9" fontId="20" fillId="0" borderId="101" xfId="41" applyFont="1" applyBorder="1" applyAlignment="1">
      <alignment horizontal="left" indent="1" shrinkToFit="1"/>
    </xf>
    <xf numFmtId="267" fontId="20" fillId="0" borderId="102" xfId="41" applyNumberFormat="1" applyFont="1" applyBorder="1" applyAlignment="1">
      <alignment horizontal="right"/>
    </xf>
    <xf numFmtId="267" fontId="20" fillId="0" borderId="103" xfId="0" applyNumberFormat="1" applyFont="1" applyBorder="1" applyAlignment="1">
      <alignment horizontal="right"/>
    </xf>
    <xf numFmtId="0" fontId="24" fillId="0" borderId="104" xfId="0" applyFont="1" applyFill="1" applyBorder="1" applyAlignment="1">
      <alignment horizontal="centerContinuous" vertical="center"/>
    </xf>
    <xf numFmtId="0" fontId="24" fillId="0" borderId="105" xfId="0" applyFont="1" applyFill="1" applyBorder="1" applyAlignment="1">
      <alignment horizontal="centerContinuous" vertical="center"/>
    </xf>
    <xf numFmtId="0" fontId="20" fillId="0" borderId="106" xfId="0" applyFont="1" applyBorder="1" applyAlignment="1">
      <alignment horizontal="centerContinuous" vertical="center"/>
    </xf>
    <xf numFmtId="0" fontId="21" fillId="0" borderId="107" xfId="0" applyFont="1" applyBorder="1" applyAlignment="1">
      <alignment horizontal="centerContinuous" vertical="center"/>
    </xf>
    <xf numFmtId="270" fontId="20" fillId="0" borderId="108" xfId="0" applyNumberFormat="1" applyFont="1" applyBorder="1" applyAlignment="1">
      <alignment vertical="center"/>
    </xf>
    <xf numFmtId="0" fontId="20" fillId="0" borderId="104" xfId="0" applyFont="1" applyBorder="1" applyAlignment="1">
      <alignment horizontal="centerContinuous" vertical="center"/>
    </xf>
    <xf numFmtId="270" fontId="20" fillId="0" borderId="109" xfId="0" applyNumberFormat="1" applyFont="1" applyBorder="1" applyAlignment="1">
      <alignment vertical="center"/>
    </xf>
    <xf numFmtId="270" fontId="20" fillId="0" borderId="110" xfId="0" applyNumberFormat="1" applyFont="1" applyBorder="1" applyAlignment="1">
      <alignment horizontal="right" vertical="center"/>
    </xf>
    <xf numFmtId="0" fontId="30" fillId="0" borderId="0" xfId="0" applyFont="1" applyBorder="1" applyAlignment="1">
      <alignment horizontal="left"/>
    </xf>
    <xf numFmtId="0" fontId="30" fillId="0" borderId="0" xfId="0" applyFont="1" applyBorder="1" applyAlignment="1">
      <alignment horizontal="centerContinuous"/>
    </xf>
    <xf numFmtId="0" fontId="21" fillId="0" borderId="0" xfId="0" applyFont="1" applyBorder="1" applyAlignment="1">
      <alignment horizontal="centerContinuous" vertical="center"/>
    </xf>
    <xf numFmtId="270" fontId="21" fillId="0" borderId="0" xfId="0" applyNumberFormat="1" applyFont="1" applyBorder="1" applyAlignment="1">
      <alignment vertical="center"/>
    </xf>
    <xf numFmtId="270" fontId="21" fillId="0" borderId="0" xfId="0" applyNumberFormat="1" applyFont="1" applyBorder="1" applyAlignment="1">
      <alignment horizontal="center" vertical="center"/>
    </xf>
    <xf numFmtId="0" fontId="30" fillId="0" borderId="0" xfId="0" applyFont="1" applyAlignment="1">
      <alignment/>
    </xf>
    <xf numFmtId="0" fontId="21" fillId="0" borderId="0" xfId="0" applyNumberFormat="1" applyFont="1" applyAlignment="1">
      <alignment/>
    </xf>
    <xf numFmtId="0" fontId="21" fillId="0" borderId="0" xfId="0" applyNumberFormat="1" applyFont="1" applyAlignment="1">
      <alignment horizontal="left"/>
    </xf>
    <xf numFmtId="0" fontId="21" fillId="0" borderId="0" xfId="0" applyNumberFormat="1" applyFont="1" applyAlignment="1">
      <alignment horizontal="center"/>
    </xf>
    <xf numFmtId="0" fontId="21" fillId="33" borderId="13" xfId="0" applyNumberFormat="1" applyFont="1" applyFill="1" applyBorder="1" applyAlignment="1">
      <alignment/>
    </xf>
    <xf numFmtId="0" fontId="21" fillId="33" borderId="13" xfId="0" applyNumberFormat="1" applyFont="1" applyFill="1" applyBorder="1" applyAlignment="1">
      <alignment horizontal="left"/>
    </xf>
    <xf numFmtId="0" fontId="21" fillId="33" borderId="13" xfId="0" applyNumberFormat="1" applyFont="1" applyFill="1" applyBorder="1" applyAlignment="1">
      <alignment horizontal="center"/>
    </xf>
    <xf numFmtId="0" fontId="21" fillId="33" borderId="13" xfId="0" applyFont="1" applyFill="1" applyBorder="1" applyAlignment="1">
      <alignment horizontal="center"/>
    </xf>
    <xf numFmtId="284" fontId="21" fillId="33" borderId="13" xfId="0" applyNumberFormat="1" applyFont="1" applyFill="1" applyBorder="1" applyAlignment="1">
      <alignment/>
    </xf>
    <xf numFmtId="0" fontId="21" fillId="33" borderId="0" xfId="0" applyFont="1" applyFill="1" applyAlignment="1">
      <alignment/>
    </xf>
    <xf numFmtId="0" fontId="21" fillId="33" borderId="13" xfId="0" applyFont="1" applyFill="1" applyBorder="1" applyAlignment="1">
      <alignment/>
    </xf>
    <xf numFmtId="57" fontId="21" fillId="33" borderId="13" xfId="0" applyNumberFormat="1" applyFont="1" applyFill="1" applyBorder="1" applyAlignment="1">
      <alignment/>
    </xf>
    <xf numFmtId="179" fontId="21" fillId="33" borderId="13" xfId="0" applyNumberFormat="1" applyFont="1" applyFill="1" applyBorder="1" applyAlignment="1">
      <alignment/>
    </xf>
    <xf numFmtId="0" fontId="21" fillId="33" borderId="13" xfId="0" applyFont="1" applyFill="1" applyBorder="1" applyAlignment="1">
      <alignment horizontal="centerContinuous"/>
    </xf>
    <xf numFmtId="0" fontId="0" fillId="33" borderId="0" xfId="0" applyNumberFormat="1" applyFont="1" applyFill="1" applyAlignment="1">
      <alignment vertical="center"/>
    </xf>
    <xf numFmtId="0" fontId="19" fillId="33" borderId="0" xfId="0" applyNumberFormat="1" applyFont="1" applyFill="1" applyAlignment="1">
      <alignment vertical="center"/>
    </xf>
    <xf numFmtId="0" fontId="0" fillId="33" borderId="0" xfId="0" applyNumberFormat="1" applyFont="1" applyFill="1" applyBorder="1" applyAlignment="1">
      <alignment horizontal="center"/>
    </xf>
    <xf numFmtId="0" fontId="0" fillId="33" borderId="0" xfId="0" applyNumberFormat="1" applyFont="1" applyFill="1" applyAlignment="1">
      <alignment/>
    </xf>
    <xf numFmtId="0" fontId="0" fillId="33" borderId="0" xfId="0" applyNumberFormat="1" applyFont="1" applyFill="1" applyAlignment="1">
      <alignment horizontal="center"/>
    </xf>
    <xf numFmtId="0" fontId="0" fillId="33" borderId="0" xfId="0" applyFont="1" applyFill="1" applyAlignment="1">
      <alignment/>
    </xf>
    <xf numFmtId="0" fontId="0" fillId="33" borderId="0" xfId="0" applyNumberFormat="1" applyFont="1" applyFill="1" applyAlignment="1">
      <alignment horizontal="left"/>
    </xf>
    <xf numFmtId="0" fontId="0" fillId="0" borderId="0" xfId="0" applyNumberFormat="1" applyFont="1" applyAlignment="1">
      <alignment horizontal="center"/>
    </xf>
    <xf numFmtId="0" fontId="0" fillId="0" borderId="0" xfId="0" applyNumberFormat="1" applyFont="1" applyAlignment="1">
      <alignment/>
    </xf>
    <xf numFmtId="0" fontId="0" fillId="33" borderId="13" xfId="0" applyNumberFormat="1" applyFont="1" applyFill="1" applyBorder="1" applyAlignment="1" applyProtection="1">
      <alignment horizontal="center"/>
      <protection locked="0"/>
    </xf>
    <xf numFmtId="0" fontId="0" fillId="34" borderId="13" xfId="0" applyNumberFormat="1" applyFont="1" applyFill="1" applyBorder="1" applyAlignment="1" applyProtection="1">
      <alignment horizontal="center"/>
      <protection locked="0"/>
    </xf>
    <xf numFmtId="0" fontId="0" fillId="35" borderId="13" xfId="0" applyNumberFormat="1" applyFont="1" applyFill="1" applyBorder="1" applyAlignment="1" applyProtection="1">
      <alignment horizontal="center"/>
      <protection locked="0"/>
    </xf>
    <xf numFmtId="318" fontId="0" fillId="34" borderId="13" xfId="0" applyNumberFormat="1" applyFont="1" applyFill="1" applyBorder="1" applyAlignment="1" applyProtection="1">
      <alignment horizontal="center"/>
      <protection locked="0"/>
    </xf>
    <xf numFmtId="0" fontId="0" fillId="33" borderId="0" xfId="0" applyNumberFormat="1" applyFont="1" applyFill="1" applyAlignment="1" applyProtection="1">
      <alignment horizontal="center"/>
      <protection locked="0"/>
    </xf>
    <xf numFmtId="0" fontId="0" fillId="33" borderId="13" xfId="0" applyNumberFormat="1" applyFont="1" applyFill="1" applyBorder="1" applyAlignment="1">
      <alignment horizontal="center"/>
    </xf>
    <xf numFmtId="57" fontId="0" fillId="33" borderId="13" xfId="0" applyNumberFormat="1" applyFont="1" applyFill="1" applyBorder="1" applyAlignment="1">
      <alignment horizontal="center"/>
    </xf>
    <xf numFmtId="38" fontId="0" fillId="33" borderId="13" xfId="48" applyFont="1" applyFill="1" applyBorder="1" applyAlignment="1">
      <alignment horizontal="center"/>
    </xf>
    <xf numFmtId="0" fontId="0" fillId="33" borderId="13" xfId="0" applyFont="1" applyFill="1" applyBorder="1" applyAlignment="1" applyProtection="1">
      <alignment/>
      <protection locked="0"/>
    </xf>
    <xf numFmtId="0" fontId="0" fillId="33" borderId="13" xfId="0" applyFont="1" applyFill="1" applyBorder="1" applyAlignment="1" applyProtection="1">
      <alignment horizontal="center"/>
      <protection locked="0"/>
    </xf>
    <xf numFmtId="38" fontId="0" fillId="33" borderId="13" xfId="48" applyFont="1" applyFill="1" applyBorder="1" applyAlignment="1" applyProtection="1">
      <alignment horizontal="center"/>
      <protection locked="0"/>
    </xf>
    <xf numFmtId="0" fontId="0" fillId="0" borderId="0" xfId="0" applyNumberFormat="1" applyFont="1" applyAlignment="1" applyProtection="1">
      <alignment horizontal="center"/>
      <protection locked="0"/>
    </xf>
    <xf numFmtId="0" fontId="0" fillId="33" borderId="32" xfId="0" applyFont="1" applyFill="1" applyBorder="1" applyAlignment="1" applyProtection="1">
      <alignment horizontal="center"/>
      <protection locked="0"/>
    </xf>
    <xf numFmtId="0" fontId="0" fillId="0" borderId="32" xfId="0" applyFont="1" applyBorder="1" applyAlignment="1" applyProtection="1">
      <alignment horizontal="center"/>
      <protection locked="0"/>
    </xf>
    <xf numFmtId="0" fontId="0" fillId="0" borderId="32" xfId="0" applyFont="1" applyBorder="1" applyAlignment="1" applyProtection="1">
      <alignment/>
      <protection locked="0"/>
    </xf>
    <xf numFmtId="297" fontId="0" fillId="0" borderId="32" xfId="48" applyNumberFormat="1" applyFont="1" applyBorder="1" applyAlignment="1" applyProtection="1">
      <alignment/>
      <protection locked="0"/>
    </xf>
    <xf numFmtId="57" fontId="0" fillId="36" borderId="32" xfId="0" applyNumberFormat="1" applyFont="1" applyFill="1" applyBorder="1" applyAlignment="1" applyProtection="1">
      <alignment/>
      <protection locked="0"/>
    </xf>
    <xf numFmtId="38" fontId="0" fillId="36" borderId="32" xfId="48" applyFont="1" applyFill="1" applyBorder="1" applyAlignment="1" applyProtection="1">
      <alignment/>
      <protection locked="0"/>
    </xf>
    <xf numFmtId="0" fontId="0" fillId="36" borderId="32" xfId="0" applyFont="1" applyFill="1" applyBorder="1" applyAlignment="1" applyProtection="1">
      <alignment/>
      <protection locked="0"/>
    </xf>
    <xf numFmtId="0" fontId="0" fillId="36" borderId="32" xfId="0" applyFont="1" applyFill="1" applyBorder="1" applyAlignment="1" applyProtection="1">
      <alignment horizontal="center"/>
      <protection locked="0"/>
    </xf>
    <xf numFmtId="284" fontId="0" fillId="0" borderId="32" xfId="0" applyNumberFormat="1" applyFont="1" applyBorder="1" applyAlignment="1" applyProtection="1">
      <alignment/>
      <protection locked="0"/>
    </xf>
    <xf numFmtId="232" fontId="0" fillId="0" borderId="32" xfId="0" applyNumberFormat="1" applyFont="1" applyBorder="1" applyAlignment="1" applyProtection="1">
      <alignment/>
      <protection locked="0"/>
    </xf>
    <xf numFmtId="0" fontId="0" fillId="0" borderId="32" xfId="0" applyFont="1" applyBorder="1" applyAlignment="1" applyProtection="1">
      <alignment horizontal="left"/>
      <protection locked="0"/>
    </xf>
    <xf numFmtId="318" fontId="0" fillId="0" borderId="32" xfId="0" applyNumberFormat="1" applyFont="1" applyBorder="1" applyAlignment="1" applyProtection="1">
      <alignment horizontal="center"/>
      <protection locked="0"/>
    </xf>
    <xf numFmtId="297" fontId="0" fillId="33" borderId="32" xfId="0" applyNumberFormat="1" applyFont="1" applyFill="1" applyBorder="1" applyAlignment="1" applyProtection="1">
      <alignment/>
      <protection locked="0"/>
    </xf>
    <xf numFmtId="0" fontId="0" fillId="0" borderId="32" xfId="0" applyNumberFormat="1" applyFont="1" applyFill="1" applyBorder="1" applyAlignment="1" applyProtection="1">
      <alignment horizontal="center"/>
      <protection locked="0"/>
    </xf>
    <xf numFmtId="0" fontId="0" fillId="0" borderId="32" xfId="0" applyFont="1" applyBorder="1" applyAlignment="1">
      <alignment/>
    </xf>
    <xf numFmtId="233" fontId="0" fillId="0" borderId="32" xfId="0" applyNumberFormat="1" applyFont="1" applyBorder="1" applyAlignment="1" applyProtection="1">
      <alignment/>
      <protection locked="0"/>
    </xf>
    <xf numFmtId="233" fontId="0" fillId="0" borderId="32" xfId="0" applyNumberFormat="1" applyFont="1" applyBorder="1" applyAlignment="1">
      <alignment/>
    </xf>
    <xf numFmtId="0" fontId="0" fillId="0" borderId="13" xfId="0" applyFont="1" applyFill="1" applyBorder="1" applyAlignment="1" applyProtection="1">
      <alignment horizontal="center"/>
      <protection locked="0"/>
    </xf>
    <xf numFmtId="0" fontId="0" fillId="37" borderId="32" xfId="0" applyFont="1" applyFill="1" applyBorder="1" applyAlignment="1" applyProtection="1">
      <alignment horizontal="center"/>
      <protection locked="0"/>
    </xf>
    <xf numFmtId="0" fontId="0" fillId="0" borderId="13" xfId="0" applyFont="1" applyBorder="1" applyAlignment="1" applyProtection="1">
      <alignment horizontal="center"/>
      <protection locked="0"/>
    </xf>
    <xf numFmtId="233" fontId="0" fillId="0" borderId="32" xfId="0" applyNumberFormat="1" applyFont="1" applyBorder="1" applyAlignment="1" applyProtection="1">
      <alignment/>
      <protection locked="0"/>
    </xf>
    <xf numFmtId="0" fontId="0" fillId="37" borderId="13" xfId="0" applyFont="1" applyFill="1" applyBorder="1" applyAlignment="1" applyProtection="1">
      <alignment/>
      <protection locked="0"/>
    </xf>
    <xf numFmtId="0" fontId="0" fillId="0" borderId="0" xfId="0" applyFont="1" applyAlignment="1" applyProtection="1">
      <alignment/>
      <protection locked="0"/>
    </xf>
    <xf numFmtId="0" fontId="0" fillId="0" borderId="13" xfId="0" applyFont="1" applyBorder="1" applyAlignment="1" applyProtection="1">
      <alignment/>
      <protection locked="0"/>
    </xf>
    <xf numFmtId="57" fontId="0" fillId="0" borderId="13" xfId="0" applyNumberFormat="1" applyFont="1" applyBorder="1" applyAlignment="1" applyProtection="1">
      <alignment/>
      <protection locked="0"/>
    </xf>
    <xf numFmtId="38" fontId="0" fillId="0" borderId="13" xfId="48" applyFont="1" applyBorder="1" applyAlignment="1" applyProtection="1">
      <alignment/>
      <protection locked="0"/>
    </xf>
    <xf numFmtId="0" fontId="32" fillId="33" borderId="0" xfId="0" applyFont="1" applyFill="1" applyAlignment="1" applyProtection="1">
      <alignment/>
      <protection locked="0"/>
    </xf>
    <xf numFmtId="0" fontId="0" fillId="33" borderId="0" xfId="0" applyFont="1" applyFill="1" applyAlignment="1" applyProtection="1">
      <alignment/>
      <protection locked="0"/>
    </xf>
    <xf numFmtId="0" fontId="0" fillId="33" borderId="0" xfId="0" applyFont="1" applyFill="1" applyAlignment="1">
      <alignment/>
    </xf>
    <xf numFmtId="0" fontId="0" fillId="0" borderId="0" xfId="0" applyFont="1" applyAlignment="1">
      <alignment/>
    </xf>
    <xf numFmtId="0" fontId="0" fillId="33" borderId="13" xfId="0" applyNumberFormat="1" applyFont="1" applyFill="1" applyBorder="1" applyAlignment="1" applyProtection="1">
      <alignment horizontal="center"/>
      <protection locked="0"/>
    </xf>
    <xf numFmtId="0" fontId="0" fillId="34" borderId="13" xfId="0" applyNumberFormat="1" applyFont="1" applyFill="1" applyBorder="1" applyAlignment="1" applyProtection="1">
      <alignment horizontal="center"/>
      <protection locked="0"/>
    </xf>
    <xf numFmtId="0" fontId="0" fillId="35" borderId="13" xfId="0" applyNumberFormat="1" applyFont="1" applyFill="1" applyBorder="1" applyAlignment="1" applyProtection="1">
      <alignment horizontal="center"/>
      <protection locked="0"/>
    </xf>
    <xf numFmtId="318" fontId="0" fillId="34" borderId="13" xfId="0" applyNumberFormat="1" applyFont="1" applyFill="1" applyBorder="1" applyAlignment="1" applyProtection="1">
      <alignment horizontal="center"/>
      <protection locked="0"/>
    </xf>
    <xf numFmtId="0" fontId="0" fillId="33" borderId="0" xfId="0" applyNumberFormat="1" applyFont="1" applyFill="1" applyAlignment="1" applyProtection="1">
      <alignment horizontal="center"/>
      <protection locked="0"/>
    </xf>
    <xf numFmtId="0" fontId="0" fillId="33" borderId="13" xfId="0" applyNumberFormat="1" applyFont="1" applyFill="1" applyBorder="1" applyAlignment="1">
      <alignment horizontal="center"/>
    </xf>
    <xf numFmtId="57" fontId="0" fillId="33" borderId="13" xfId="0" applyNumberFormat="1" applyFont="1" applyFill="1" applyBorder="1" applyAlignment="1">
      <alignment horizontal="center"/>
    </xf>
    <xf numFmtId="38" fontId="0" fillId="33" borderId="13" xfId="48" applyFont="1" applyFill="1" applyBorder="1" applyAlignment="1">
      <alignment horizontal="center"/>
    </xf>
    <xf numFmtId="0" fontId="0" fillId="33" borderId="13" xfId="0" applyFont="1" applyFill="1" applyBorder="1" applyAlignment="1" applyProtection="1">
      <alignment/>
      <protection locked="0"/>
    </xf>
    <xf numFmtId="0" fontId="0" fillId="33" borderId="13" xfId="0" applyFont="1" applyFill="1" applyBorder="1" applyAlignment="1" applyProtection="1">
      <alignment horizontal="center"/>
      <protection locked="0"/>
    </xf>
    <xf numFmtId="38" fontId="0" fillId="33" borderId="13" xfId="48" applyFont="1" applyFill="1" applyBorder="1" applyAlignment="1" applyProtection="1">
      <alignment horizontal="center"/>
      <protection locked="0"/>
    </xf>
    <xf numFmtId="0" fontId="0" fillId="0" borderId="0" xfId="0" applyNumberFormat="1" applyFont="1" applyAlignment="1" applyProtection="1">
      <alignment horizontal="center"/>
      <protection locked="0"/>
    </xf>
    <xf numFmtId="0" fontId="33" fillId="33" borderId="0" xfId="0" applyFont="1" applyFill="1" applyAlignment="1" applyProtection="1">
      <alignment/>
      <protection locked="0"/>
    </xf>
    <xf numFmtId="0" fontId="0" fillId="33" borderId="0" xfId="0" applyFont="1" applyFill="1" applyAlignment="1" applyProtection="1">
      <alignment/>
      <protection locked="0"/>
    </xf>
    <xf numFmtId="0" fontId="0" fillId="0" borderId="0" xfId="0" applyFont="1" applyFill="1" applyAlignment="1" applyProtection="1">
      <alignment/>
      <protection locked="0"/>
    </xf>
    <xf numFmtId="0" fontId="0" fillId="33" borderId="13" xfId="0" applyNumberFormat="1" applyFont="1" applyFill="1" applyBorder="1" applyAlignment="1">
      <alignment horizontal="center"/>
    </xf>
    <xf numFmtId="0" fontId="0" fillId="33" borderId="13" xfId="0" applyFont="1" applyFill="1" applyBorder="1" applyAlignment="1" applyProtection="1">
      <alignment/>
      <protection locked="0"/>
    </xf>
    <xf numFmtId="0" fontId="0" fillId="33" borderId="13" xfId="0" applyFont="1" applyFill="1" applyBorder="1" applyAlignment="1" applyProtection="1">
      <alignment horizontal="center"/>
      <protection locked="0"/>
    </xf>
    <xf numFmtId="0" fontId="0" fillId="33" borderId="13" xfId="0" applyFont="1" applyFill="1" applyBorder="1" applyAlignment="1" applyProtection="1">
      <alignment horizontal="left"/>
      <protection locked="0"/>
    </xf>
    <xf numFmtId="57" fontId="0" fillId="33" borderId="13" xfId="0" applyNumberFormat="1" applyFont="1" applyFill="1" applyBorder="1" applyAlignment="1" applyProtection="1">
      <alignment horizontal="center"/>
      <protection locked="0"/>
    </xf>
    <xf numFmtId="38" fontId="0" fillId="33" borderId="13" xfId="48" applyFont="1" applyFill="1" applyBorder="1" applyAlignment="1" applyProtection="1">
      <alignment horizontal="center"/>
      <protection locked="0"/>
    </xf>
    <xf numFmtId="10" fontId="0" fillId="33" borderId="13" xfId="0" applyNumberFormat="1" applyFont="1" applyFill="1" applyBorder="1" applyAlignment="1" applyProtection="1">
      <alignment/>
      <protection locked="0"/>
    </xf>
    <xf numFmtId="267" fontId="0" fillId="33" borderId="13" xfId="0" applyNumberFormat="1" applyFont="1" applyFill="1" applyBorder="1" applyAlignment="1" applyProtection="1">
      <alignment horizontal="center"/>
      <protection locked="0"/>
    </xf>
    <xf numFmtId="38" fontId="0" fillId="33" borderId="13" xfId="48" applyFont="1" applyFill="1" applyBorder="1" applyAlignment="1" applyProtection="1">
      <alignment horizontal="right"/>
      <protection locked="0"/>
    </xf>
    <xf numFmtId="0" fontId="34" fillId="38" borderId="0" xfId="0" applyFont="1" applyFill="1" applyAlignment="1">
      <alignment/>
    </xf>
    <xf numFmtId="0" fontId="0" fillId="38" borderId="0" xfId="0" applyFont="1" applyFill="1" applyAlignment="1">
      <alignment/>
    </xf>
    <xf numFmtId="0" fontId="35" fillId="38" borderId="0" xfId="0" applyFont="1" applyFill="1" applyAlignment="1">
      <alignment horizontal="center"/>
    </xf>
    <xf numFmtId="0" fontId="0" fillId="38" borderId="0" xfId="0" applyFont="1" applyFill="1" applyAlignment="1">
      <alignment/>
    </xf>
    <xf numFmtId="0" fontId="0" fillId="38" borderId="111" xfId="0" applyFont="1" applyFill="1" applyBorder="1" applyAlignment="1">
      <alignment/>
    </xf>
    <xf numFmtId="0" fontId="0" fillId="38" borderId="112" xfId="0" applyFont="1" applyFill="1" applyBorder="1" applyAlignment="1" applyProtection="1">
      <alignment horizontal="center"/>
      <protection/>
    </xf>
    <xf numFmtId="297" fontId="0" fillId="38" borderId="112" xfId="0" applyNumberFormat="1" applyFont="1" applyFill="1" applyBorder="1" applyAlignment="1" applyProtection="1">
      <alignment horizontal="center"/>
      <protection/>
    </xf>
    <xf numFmtId="0" fontId="0" fillId="38" borderId="0" xfId="0" applyFont="1" applyFill="1" applyAlignment="1" applyProtection="1">
      <alignment/>
      <protection/>
    </xf>
    <xf numFmtId="0" fontId="36" fillId="38" borderId="0" xfId="0" applyFont="1" applyFill="1" applyBorder="1" applyAlignment="1" applyProtection="1">
      <alignment/>
      <protection/>
    </xf>
    <xf numFmtId="0" fontId="0" fillId="38" borderId="0" xfId="0" applyFont="1" applyFill="1" applyAlignment="1">
      <alignment/>
    </xf>
    <xf numFmtId="0" fontId="0" fillId="38" borderId="111" xfId="0" applyFont="1" applyFill="1" applyBorder="1" applyAlignment="1">
      <alignment/>
    </xf>
    <xf numFmtId="0" fontId="0" fillId="38" borderId="113" xfId="0" applyFont="1" applyFill="1" applyBorder="1" applyAlignment="1" applyProtection="1">
      <alignment horizontal="left"/>
      <protection/>
    </xf>
    <xf numFmtId="0" fontId="0" fillId="38" borderId="114" xfId="0" applyFont="1" applyFill="1" applyBorder="1" applyAlignment="1" applyProtection="1">
      <alignment horizontal="left"/>
      <protection/>
    </xf>
    <xf numFmtId="0" fontId="0" fillId="38" borderId="115" xfId="0" applyFont="1" applyFill="1" applyBorder="1" applyAlignment="1" applyProtection="1">
      <alignment horizontal="left"/>
      <protection/>
    </xf>
    <xf numFmtId="0" fontId="0" fillId="0" borderId="113" xfId="0" applyFont="1" applyFill="1" applyBorder="1" applyAlignment="1" applyProtection="1">
      <alignment horizontal="left"/>
      <protection locked="0"/>
    </xf>
    <xf numFmtId="0" fontId="0" fillId="38" borderId="115" xfId="0" applyFont="1" applyFill="1" applyBorder="1" applyAlignment="1" applyProtection="1">
      <alignment horizontal="centerContinuous"/>
      <protection/>
    </xf>
    <xf numFmtId="0" fontId="0" fillId="38" borderId="0" xfId="0" applyFont="1" applyFill="1" applyAlignment="1" applyProtection="1">
      <alignment/>
      <protection/>
    </xf>
    <xf numFmtId="0" fontId="0" fillId="38" borderId="111" xfId="0" applyFont="1" applyFill="1" applyBorder="1" applyAlignment="1">
      <alignment/>
    </xf>
    <xf numFmtId="0" fontId="37" fillId="38" borderId="0" xfId="0" applyFont="1" applyFill="1" applyAlignment="1">
      <alignment/>
    </xf>
    <xf numFmtId="0" fontId="0" fillId="38" borderId="0" xfId="0" applyFont="1" applyFill="1" applyAlignment="1">
      <alignment/>
    </xf>
    <xf numFmtId="0" fontId="0" fillId="38" borderId="111" xfId="0" applyFont="1" applyFill="1" applyBorder="1" applyAlignment="1">
      <alignment/>
    </xf>
    <xf numFmtId="0" fontId="0" fillId="0" borderId="111" xfId="0" applyFont="1" applyFill="1" applyBorder="1" applyAlignment="1" applyProtection="1">
      <alignment horizontal="center"/>
      <protection locked="0"/>
    </xf>
    <xf numFmtId="0" fontId="0" fillId="0" borderId="112" xfId="0" applyFont="1" applyFill="1" applyBorder="1" applyAlignment="1" applyProtection="1">
      <alignment horizontal="center"/>
      <protection locked="0"/>
    </xf>
    <xf numFmtId="0" fontId="38" fillId="38" borderId="116" xfId="0" applyFont="1" applyFill="1" applyBorder="1" applyAlignment="1" applyProtection="1">
      <alignment horizontal="center"/>
      <protection locked="0"/>
    </xf>
    <xf numFmtId="0" fontId="0" fillId="38" borderId="0" xfId="0" applyFont="1" applyFill="1" applyAlignment="1">
      <alignment/>
    </xf>
    <xf numFmtId="0" fontId="0" fillId="38" borderId="111" xfId="0" applyFont="1" applyFill="1" applyBorder="1" applyAlignment="1">
      <alignment/>
    </xf>
    <xf numFmtId="297" fontId="0" fillId="0" borderId="111" xfId="0" applyNumberFormat="1" applyFont="1" applyFill="1" applyBorder="1" applyAlignment="1" applyProtection="1">
      <alignment/>
      <protection locked="0"/>
    </xf>
    <xf numFmtId="297" fontId="0" fillId="38" borderId="111" xfId="0" applyNumberFormat="1" applyFont="1" applyFill="1" applyBorder="1" applyAlignment="1">
      <alignment/>
    </xf>
    <xf numFmtId="0" fontId="0" fillId="38" borderId="111" xfId="0" applyFont="1" applyFill="1" applyBorder="1" applyAlignment="1">
      <alignment/>
    </xf>
    <xf numFmtId="0" fontId="0" fillId="0" borderId="111" xfId="0" applyFont="1" applyFill="1" applyBorder="1" applyAlignment="1" applyProtection="1">
      <alignment horizontal="center"/>
      <protection locked="0"/>
    </xf>
    <xf numFmtId="0" fontId="0" fillId="0" borderId="112" xfId="0" applyFont="1" applyFill="1" applyBorder="1" applyAlignment="1" applyProtection="1">
      <alignment horizontal="center"/>
      <protection locked="0"/>
    </xf>
    <xf numFmtId="297" fontId="0" fillId="0" borderId="112" xfId="0" applyNumberFormat="1" applyFont="1" applyFill="1" applyBorder="1" applyAlignment="1" applyProtection="1">
      <alignment/>
      <protection locked="0"/>
    </xf>
    <xf numFmtId="297" fontId="0" fillId="38" borderId="117" xfId="0" applyNumberFormat="1" applyFont="1" applyFill="1" applyBorder="1" applyAlignment="1">
      <alignment/>
    </xf>
    <xf numFmtId="0" fontId="0" fillId="38" borderId="112" xfId="0" applyFont="1" applyFill="1" applyBorder="1" applyAlignment="1" applyProtection="1">
      <alignment horizontal="center"/>
      <protection/>
    </xf>
    <xf numFmtId="0" fontId="0" fillId="38" borderId="118" xfId="0" applyFont="1" applyFill="1" applyBorder="1" applyAlignment="1" applyProtection="1">
      <alignment horizontal="centerContinuous"/>
      <protection/>
    </xf>
    <xf numFmtId="0" fontId="37" fillId="38" borderId="0" xfId="0" applyFont="1" applyFill="1" applyAlignment="1" applyProtection="1">
      <alignment/>
      <protection/>
    </xf>
    <xf numFmtId="3" fontId="0" fillId="38" borderId="0" xfId="0" applyNumberFormat="1" applyFont="1" applyFill="1" applyAlignment="1">
      <alignment/>
    </xf>
    <xf numFmtId="9" fontId="0" fillId="38" borderId="111" xfId="41" applyFont="1" applyFill="1" applyBorder="1" applyAlignment="1" applyProtection="1">
      <alignment horizontal="center"/>
      <protection/>
    </xf>
    <xf numFmtId="0" fontId="0" fillId="38" borderId="0" xfId="0" applyFont="1" applyFill="1" applyAlignment="1" applyProtection="1">
      <alignment/>
      <protection/>
    </xf>
    <xf numFmtId="0" fontId="32" fillId="38" borderId="0" xfId="0" applyFont="1" applyFill="1" applyAlignment="1">
      <alignment/>
    </xf>
    <xf numFmtId="0" fontId="0" fillId="38" borderId="0" xfId="0" applyFont="1" applyFill="1" applyAlignment="1">
      <alignment/>
    </xf>
    <xf numFmtId="0" fontId="0" fillId="38" borderId="111" xfId="0" applyFont="1" applyFill="1" applyBorder="1" applyAlignment="1">
      <alignment/>
    </xf>
    <xf numFmtId="315" fontId="0" fillId="38" borderId="111" xfId="0" applyNumberFormat="1" applyFont="1" applyFill="1" applyBorder="1" applyAlignment="1" applyProtection="1">
      <alignment horizontal="center"/>
      <protection/>
    </xf>
    <xf numFmtId="9" fontId="35" fillId="38" borderId="0" xfId="0" applyNumberFormat="1" applyFont="1" applyFill="1" applyAlignment="1">
      <alignment horizontal="center"/>
    </xf>
    <xf numFmtId="181" fontId="0" fillId="0" borderId="112" xfId="0" applyNumberFormat="1" applyFont="1" applyFill="1" applyBorder="1" applyAlignment="1" applyProtection="1">
      <alignment horizontal="center"/>
      <protection locked="0"/>
    </xf>
    <xf numFmtId="0" fontId="0" fillId="0" borderId="119" xfId="0" applyFont="1" applyFill="1" applyBorder="1" applyAlignment="1" applyProtection="1">
      <alignment horizontal="left"/>
      <protection locked="0"/>
    </xf>
    <xf numFmtId="0" fontId="0" fillId="38" borderId="120" xfId="0" applyFont="1" applyFill="1" applyBorder="1" applyAlignment="1" applyProtection="1">
      <alignment horizontal="left"/>
      <protection locked="0"/>
    </xf>
    <xf numFmtId="0" fontId="0" fillId="38" borderId="121" xfId="0" applyFont="1" applyFill="1" applyBorder="1" applyAlignment="1" applyProtection="1">
      <alignment horizontal="left"/>
      <protection locked="0"/>
    </xf>
    <xf numFmtId="0" fontId="0" fillId="0" borderId="122" xfId="0" applyFont="1" applyFill="1" applyBorder="1" applyAlignment="1" applyProtection="1">
      <alignment horizontal="left"/>
      <protection locked="0"/>
    </xf>
    <xf numFmtId="0" fontId="0" fillId="38" borderId="123" xfId="0" applyFont="1" applyFill="1" applyBorder="1" applyAlignment="1" applyProtection="1">
      <alignment horizontal="left"/>
      <protection locked="0"/>
    </xf>
    <xf numFmtId="0" fontId="0" fillId="38" borderId="124" xfId="0" applyFont="1" applyFill="1" applyBorder="1" applyAlignment="1" applyProtection="1">
      <alignment horizontal="left"/>
      <protection locked="0"/>
    </xf>
    <xf numFmtId="0" fontId="0" fillId="38" borderId="112" xfId="0" applyFont="1" applyFill="1" applyBorder="1" applyAlignment="1">
      <alignment/>
    </xf>
    <xf numFmtId="0" fontId="0" fillId="0" borderId="125" xfId="0" applyFont="1" applyFill="1" applyBorder="1" applyAlignment="1" applyProtection="1">
      <alignment horizontal="left"/>
      <protection locked="0"/>
    </xf>
    <xf numFmtId="0" fontId="0" fillId="38" borderId="126" xfId="0" applyFont="1" applyFill="1" applyBorder="1" applyAlignment="1" applyProtection="1">
      <alignment horizontal="left"/>
      <protection locked="0"/>
    </xf>
    <xf numFmtId="0" fontId="0" fillId="38" borderId="0" xfId="0" applyFont="1" applyFill="1" applyAlignment="1">
      <alignment horizontal="left"/>
    </xf>
    <xf numFmtId="0" fontId="0" fillId="38" borderId="0" xfId="0" applyFont="1" applyFill="1" applyBorder="1" applyAlignment="1" applyProtection="1">
      <alignment/>
      <protection locked="0"/>
    </xf>
    <xf numFmtId="0" fontId="0" fillId="38" borderId="0" xfId="0" applyFont="1" applyFill="1" applyBorder="1" applyAlignment="1">
      <alignment/>
    </xf>
    <xf numFmtId="0" fontId="0" fillId="38" borderId="127" xfId="0" applyFont="1" applyFill="1" applyBorder="1" applyAlignment="1">
      <alignment horizontal="center"/>
    </xf>
    <xf numFmtId="0" fontId="0" fillId="38" borderId="127" xfId="0" applyFont="1" applyFill="1" applyBorder="1" applyAlignment="1" applyProtection="1">
      <alignment horizontal="center"/>
      <protection locked="0"/>
    </xf>
    <xf numFmtId="0" fontId="0" fillId="38" borderId="128" xfId="0" applyFont="1" applyFill="1" applyBorder="1" applyAlignment="1">
      <alignment horizontal="center"/>
    </xf>
    <xf numFmtId="0" fontId="0" fillId="0" borderId="129" xfId="0" applyFont="1" applyFill="1" applyBorder="1" applyAlignment="1" applyProtection="1">
      <alignment horizontal="center"/>
      <protection locked="0"/>
    </xf>
    <xf numFmtId="3" fontId="0" fillId="0" borderId="129" xfId="0" applyNumberFormat="1" applyFont="1" applyFill="1" applyBorder="1" applyAlignment="1" applyProtection="1">
      <alignment horizontal="center"/>
      <protection locked="0"/>
    </xf>
    <xf numFmtId="0" fontId="0" fillId="38" borderId="130" xfId="0" applyFont="1" applyFill="1" applyBorder="1" applyAlignment="1">
      <alignment horizontal="center"/>
    </xf>
    <xf numFmtId="0" fontId="0" fillId="0" borderId="113" xfId="0" applyFont="1" applyFill="1" applyBorder="1" applyAlignment="1" applyProtection="1">
      <alignment horizontal="center"/>
      <protection locked="0"/>
    </xf>
    <xf numFmtId="3" fontId="0" fillId="0" borderId="113" xfId="0" applyNumberFormat="1" applyFont="1" applyFill="1" applyBorder="1" applyAlignment="1" applyProtection="1">
      <alignment horizontal="center"/>
      <protection locked="0"/>
    </xf>
    <xf numFmtId="0" fontId="0" fillId="38" borderId="32" xfId="0" applyFont="1" applyFill="1" applyBorder="1" applyAlignment="1">
      <alignment horizontal="center"/>
    </xf>
    <xf numFmtId="0" fontId="0" fillId="38" borderId="13" xfId="0" applyFont="1" applyFill="1" applyBorder="1" applyAlignment="1">
      <alignment horizontal="center"/>
    </xf>
    <xf numFmtId="3" fontId="0" fillId="38" borderId="128" xfId="0" applyNumberFormat="1" applyFont="1" applyFill="1" applyBorder="1" applyAlignment="1" applyProtection="1">
      <alignment horizontal="center"/>
      <protection/>
    </xf>
    <xf numFmtId="3" fontId="0" fillId="38" borderId="13" xfId="0" applyNumberFormat="1" applyFont="1" applyFill="1" applyBorder="1" applyAlignment="1" applyProtection="1">
      <alignment horizontal="center"/>
      <protection/>
    </xf>
    <xf numFmtId="0" fontId="0" fillId="0" borderId="111" xfId="0" applyFont="1" applyFill="1" applyBorder="1" applyAlignment="1" applyProtection="1">
      <alignment horizontal="center"/>
      <protection/>
    </xf>
    <xf numFmtId="0" fontId="0" fillId="38" borderId="131" xfId="0" applyFont="1" applyFill="1" applyBorder="1" applyAlignment="1">
      <alignment horizontal="center"/>
    </xf>
    <xf numFmtId="0" fontId="0" fillId="0" borderId="112" xfId="0" applyFont="1" applyFill="1" applyBorder="1" applyAlignment="1" applyProtection="1">
      <alignment horizontal="center"/>
      <protection/>
    </xf>
    <xf numFmtId="0" fontId="0" fillId="38" borderId="13" xfId="0" applyFont="1" applyFill="1" applyBorder="1" applyAlignment="1">
      <alignment/>
    </xf>
    <xf numFmtId="0" fontId="0" fillId="38" borderId="132" xfId="0" applyFont="1" applyFill="1" applyBorder="1" applyAlignment="1">
      <alignment horizontal="center"/>
    </xf>
    <xf numFmtId="3" fontId="0" fillId="0" borderId="133" xfId="0" applyNumberFormat="1" applyFont="1" applyFill="1" applyBorder="1" applyAlignment="1" applyProtection="1">
      <alignment horizontal="center"/>
      <protection locked="0"/>
    </xf>
    <xf numFmtId="3" fontId="0" fillId="38" borderId="13" xfId="0" applyNumberFormat="1" applyFont="1" applyFill="1" applyBorder="1" applyAlignment="1">
      <alignment horizontal="center"/>
    </xf>
    <xf numFmtId="3" fontId="35" fillId="38" borderId="13" xfId="0" applyNumberFormat="1" applyFont="1" applyFill="1" applyBorder="1" applyAlignment="1">
      <alignment/>
    </xf>
    <xf numFmtId="0" fontId="0" fillId="38" borderId="122" xfId="0" applyFont="1" applyFill="1" applyBorder="1" applyAlignment="1">
      <alignment horizontal="center"/>
    </xf>
    <xf numFmtId="3" fontId="0" fillId="0" borderId="134" xfId="0" applyNumberFormat="1" applyFont="1" applyFill="1" applyBorder="1" applyAlignment="1" applyProtection="1">
      <alignment horizontal="center"/>
      <protection locked="0"/>
    </xf>
    <xf numFmtId="9" fontId="32" fillId="38" borderId="0" xfId="0" applyNumberFormat="1" applyFont="1" applyFill="1" applyAlignment="1">
      <alignment horizontal="left"/>
    </xf>
    <xf numFmtId="181" fontId="0" fillId="38" borderId="0" xfId="0" applyNumberFormat="1" applyFont="1" applyFill="1" applyAlignment="1">
      <alignment/>
    </xf>
    <xf numFmtId="297" fontId="0" fillId="38" borderId="0" xfId="0" applyNumberFormat="1" applyFont="1" applyFill="1" applyAlignment="1">
      <alignment/>
    </xf>
    <xf numFmtId="0" fontId="35" fillId="38" borderId="0" xfId="0" applyFont="1" applyFill="1" applyAlignment="1">
      <alignment/>
    </xf>
    <xf numFmtId="0" fontId="0" fillId="0" borderId="127" xfId="0" applyFont="1" applyFill="1" applyBorder="1" applyAlignment="1" applyProtection="1">
      <alignment horizontal="center"/>
      <protection locked="0"/>
    </xf>
    <xf numFmtId="297" fontId="0" fillId="0" borderId="127" xfId="0" applyNumberFormat="1" applyFont="1" applyFill="1" applyBorder="1" applyAlignment="1" applyProtection="1">
      <alignment horizontal="center"/>
      <protection locked="0"/>
    </xf>
    <xf numFmtId="10" fontId="0" fillId="0" borderId="127" xfId="0" applyNumberFormat="1" applyFont="1" applyFill="1" applyBorder="1" applyAlignment="1" applyProtection="1">
      <alignment horizontal="center"/>
      <protection locked="0"/>
    </xf>
    <xf numFmtId="3" fontId="0" fillId="38" borderId="127" xfId="0" applyNumberFormat="1" applyFont="1" applyFill="1" applyBorder="1" applyAlignment="1" applyProtection="1">
      <alignment horizontal="center"/>
      <protection locked="0"/>
    </xf>
    <xf numFmtId="0" fontId="0" fillId="0" borderId="128" xfId="0" applyFont="1" applyFill="1" applyBorder="1" applyAlignment="1" applyProtection="1">
      <alignment horizontal="center"/>
      <protection locked="0"/>
    </xf>
    <xf numFmtId="3" fontId="0" fillId="0" borderId="127" xfId="0" applyNumberFormat="1" applyFont="1" applyFill="1" applyBorder="1" applyAlignment="1" applyProtection="1">
      <alignment horizontal="center"/>
      <protection locked="0"/>
    </xf>
    <xf numFmtId="297" fontId="0" fillId="38" borderId="131" xfId="0" applyNumberFormat="1" applyFont="1" applyFill="1" applyBorder="1" applyAlignment="1" applyProtection="1">
      <alignment horizontal="center"/>
      <protection/>
    </xf>
    <xf numFmtId="3" fontId="0" fillId="38" borderId="131" xfId="0" applyNumberFormat="1" applyFont="1" applyFill="1" applyBorder="1" applyAlignment="1">
      <alignment horizontal="center"/>
    </xf>
    <xf numFmtId="0" fontId="0" fillId="38" borderId="128" xfId="0" applyFont="1" applyFill="1" applyBorder="1" applyAlignment="1">
      <alignment/>
    </xf>
    <xf numFmtId="10" fontId="0" fillId="38" borderId="127" xfId="0" applyNumberFormat="1" applyFont="1" applyFill="1" applyBorder="1" applyAlignment="1" applyProtection="1">
      <alignment horizontal="center"/>
      <protection/>
    </xf>
    <xf numFmtId="3" fontId="0" fillId="38" borderId="13" xfId="0" applyNumberFormat="1" applyFont="1" applyFill="1" applyBorder="1" applyAlignment="1">
      <alignment/>
    </xf>
    <xf numFmtId="0" fontId="0" fillId="38" borderId="128" xfId="0" applyFont="1" applyFill="1" applyBorder="1" applyAlignment="1">
      <alignment/>
    </xf>
    <xf numFmtId="10" fontId="0" fillId="38" borderId="127" xfId="0" applyNumberFormat="1" applyFont="1" applyFill="1" applyBorder="1" applyAlignment="1" applyProtection="1">
      <alignment horizontal="center"/>
      <protection/>
    </xf>
    <xf numFmtId="0" fontId="0" fillId="38" borderId="13" xfId="0" applyFont="1" applyFill="1" applyBorder="1" applyAlignment="1">
      <alignment/>
    </xf>
    <xf numFmtId="3" fontId="0" fillId="38" borderId="13" xfId="0" applyNumberFormat="1" applyFont="1" applyFill="1" applyBorder="1" applyAlignment="1">
      <alignment/>
    </xf>
    <xf numFmtId="181" fontId="32" fillId="38" borderId="0" xfId="0" applyNumberFormat="1" applyFont="1" applyFill="1" applyAlignment="1">
      <alignment horizontal="center"/>
    </xf>
    <xf numFmtId="0" fontId="0" fillId="0" borderId="131" xfId="0" applyNumberFormat="1" applyFont="1" applyFill="1" applyBorder="1" applyAlignment="1" applyProtection="1">
      <alignment horizontal="center"/>
      <protection locked="0"/>
    </xf>
    <xf numFmtId="0" fontId="33" fillId="38" borderId="0" xfId="0" applyFont="1" applyFill="1" applyAlignment="1">
      <alignment horizontal="right"/>
    </xf>
    <xf numFmtId="9" fontId="33" fillId="38" borderId="0" xfId="0" applyNumberFormat="1" applyFont="1" applyFill="1" applyAlignment="1">
      <alignment horizontal="center"/>
    </xf>
    <xf numFmtId="0" fontId="0" fillId="38" borderId="0" xfId="0" applyFont="1" applyFill="1" applyAlignment="1">
      <alignment/>
    </xf>
    <xf numFmtId="0" fontId="0" fillId="38" borderId="13" xfId="0" applyFont="1" applyFill="1" applyBorder="1" applyAlignment="1">
      <alignment/>
    </xf>
    <xf numFmtId="3" fontId="0" fillId="38" borderId="13" xfId="0" applyNumberFormat="1" applyFont="1" applyFill="1" applyBorder="1" applyAlignment="1">
      <alignment/>
    </xf>
    <xf numFmtId="3" fontId="33" fillId="38" borderId="0" xfId="0" applyNumberFormat="1" applyFont="1" applyFill="1" applyAlignment="1">
      <alignment horizontal="right"/>
    </xf>
    <xf numFmtId="9" fontId="33" fillId="38" borderId="0" xfId="41" applyFont="1" applyFill="1" applyAlignment="1">
      <alignment horizontal="center"/>
    </xf>
    <xf numFmtId="0" fontId="0" fillId="38" borderId="127" xfId="0" applyFont="1" applyFill="1" applyBorder="1" applyAlignment="1">
      <alignment/>
    </xf>
    <xf numFmtId="0" fontId="0" fillId="0" borderId="127" xfId="0" applyFont="1" applyFill="1" applyBorder="1" applyAlignment="1" applyProtection="1">
      <alignment horizontal="center"/>
      <protection locked="0"/>
    </xf>
    <xf numFmtId="3" fontId="0" fillId="38" borderId="131" xfId="0" applyNumberFormat="1" applyFont="1" applyFill="1" applyBorder="1" applyAlignment="1">
      <alignment horizontal="centerContinuous"/>
    </xf>
    <xf numFmtId="3" fontId="0" fillId="38" borderId="30" xfId="0" applyNumberFormat="1" applyFont="1" applyFill="1" applyBorder="1" applyAlignment="1">
      <alignment horizontal="centerContinuous"/>
    </xf>
    <xf numFmtId="0" fontId="0" fillId="38" borderId="131" xfId="0" applyFont="1" applyFill="1" applyBorder="1" applyAlignment="1">
      <alignment/>
    </xf>
    <xf numFmtId="3" fontId="0" fillId="0" borderId="13" xfId="0" applyNumberFormat="1" applyFont="1" applyFill="1" applyBorder="1" applyAlignment="1" applyProtection="1">
      <alignment horizontal="center"/>
      <protection locked="0"/>
    </xf>
    <xf numFmtId="0" fontId="0" fillId="38" borderId="13" xfId="0" applyFont="1" applyFill="1" applyBorder="1" applyAlignment="1">
      <alignment horizontal="center"/>
    </xf>
    <xf numFmtId="3" fontId="35" fillId="38" borderId="131" xfId="0" applyNumberFormat="1" applyFont="1" applyFill="1" applyBorder="1" applyAlignment="1">
      <alignment horizontal="centerContinuous"/>
    </xf>
    <xf numFmtId="3" fontId="35" fillId="38" borderId="30" xfId="0" applyNumberFormat="1" applyFont="1" applyFill="1" applyBorder="1" applyAlignment="1">
      <alignment horizontal="centerContinuous"/>
    </xf>
    <xf numFmtId="3" fontId="0" fillId="38" borderId="0" xfId="0" applyNumberFormat="1" applyFont="1" applyFill="1" applyBorder="1" applyAlignment="1" applyProtection="1">
      <alignment horizontal="center"/>
      <protection locked="0"/>
    </xf>
    <xf numFmtId="0" fontId="32" fillId="38" borderId="0" xfId="0" applyFont="1" applyFill="1" applyAlignment="1">
      <alignment horizontal="center"/>
    </xf>
    <xf numFmtId="0" fontId="0" fillId="38" borderId="104" xfId="0" applyFont="1" applyFill="1" applyBorder="1" applyAlignment="1">
      <alignment horizontal="center"/>
    </xf>
    <xf numFmtId="0" fontId="0" fillId="38" borderId="135" xfId="0" applyFont="1" applyFill="1" applyBorder="1" applyAlignment="1" applyProtection="1">
      <alignment horizontal="center"/>
      <protection/>
    </xf>
    <xf numFmtId="0" fontId="0" fillId="38" borderId="135" xfId="0" applyFont="1" applyFill="1" applyBorder="1" applyAlignment="1">
      <alignment horizontal="center"/>
    </xf>
    <xf numFmtId="181" fontId="0" fillId="38" borderId="135" xfId="0" applyNumberFormat="1" applyFont="1" applyFill="1" applyBorder="1" applyAlignment="1">
      <alignment horizontal="center"/>
    </xf>
    <xf numFmtId="0" fontId="0" fillId="38" borderId="136" xfId="0" applyFont="1" applyFill="1" applyBorder="1" applyAlignment="1">
      <alignment horizontal="center"/>
    </xf>
    <xf numFmtId="0" fontId="0" fillId="38" borderId="127" xfId="0" applyFont="1" applyFill="1" applyBorder="1" applyAlignment="1">
      <alignment/>
    </xf>
    <xf numFmtId="180" fontId="0" fillId="0" borderId="128" xfId="0" applyNumberFormat="1" applyFont="1" applyFill="1" applyBorder="1" applyAlignment="1" applyProtection="1">
      <alignment/>
      <protection locked="0"/>
    </xf>
    <xf numFmtId="3" fontId="0" fillId="0" borderId="128" xfId="0" applyNumberFormat="1" applyFont="1" applyFill="1" applyBorder="1" applyAlignment="1" applyProtection="1">
      <alignment/>
      <protection locked="0"/>
    </xf>
    <xf numFmtId="0" fontId="0" fillId="38" borderId="131" xfId="0" applyFont="1" applyFill="1" applyBorder="1" applyAlignment="1">
      <alignment/>
    </xf>
    <xf numFmtId="180" fontId="0" fillId="0" borderId="13" xfId="0" applyNumberFormat="1" applyFont="1" applyFill="1" applyBorder="1" applyAlignment="1" applyProtection="1">
      <alignment/>
      <protection locked="0"/>
    </xf>
    <xf numFmtId="0" fontId="0" fillId="0" borderId="13" xfId="0" applyFont="1" applyFill="1" applyBorder="1" applyAlignment="1" applyProtection="1">
      <alignment/>
      <protection locked="0"/>
    </xf>
    <xf numFmtId="0" fontId="0" fillId="0" borderId="131" xfId="0" applyFont="1" applyFill="1" applyBorder="1" applyAlignment="1" applyProtection="1">
      <alignment/>
      <protection locked="0"/>
    </xf>
    <xf numFmtId="0" fontId="0" fillId="38" borderId="137" xfId="0" applyFont="1" applyFill="1" applyBorder="1" applyAlignment="1">
      <alignment/>
    </xf>
    <xf numFmtId="0" fontId="0" fillId="38" borderId="30" xfId="0" applyFont="1" applyFill="1" applyBorder="1" applyAlignment="1">
      <alignment/>
    </xf>
    <xf numFmtId="0" fontId="0" fillId="38" borderId="127" xfId="0" applyFont="1" applyFill="1" applyBorder="1" applyAlignment="1">
      <alignment/>
    </xf>
    <xf numFmtId="0" fontId="0" fillId="38" borderId="128" xfId="0" applyFont="1" applyFill="1" applyBorder="1" applyAlignment="1">
      <alignment horizontal="center"/>
    </xf>
    <xf numFmtId="3" fontId="0" fillId="38" borderId="128" xfId="0" applyNumberFormat="1" applyFont="1" applyFill="1" applyBorder="1" applyAlignment="1" applyProtection="1">
      <alignment/>
      <protection/>
    </xf>
    <xf numFmtId="3" fontId="0" fillId="0" borderId="127" xfId="0" applyNumberFormat="1" applyFont="1" applyFill="1" applyBorder="1" applyAlignment="1" applyProtection="1">
      <alignment/>
      <protection locked="0"/>
    </xf>
    <xf numFmtId="2" fontId="0" fillId="38" borderId="128" xfId="0" applyNumberFormat="1" applyFont="1" applyFill="1" applyBorder="1" applyAlignment="1" applyProtection="1">
      <alignment horizontal="center"/>
      <protection locked="0"/>
    </xf>
    <xf numFmtId="180" fontId="0" fillId="38" borderId="128" xfId="0" applyNumberFormat="1" applyFont="1" applyFill="1" applyBorder="1" applyAlignment="1">
      <alignment/>
    </xf>
    <xf numFmtId="2" fontId="0" fillId="38" borderId="128" xfId="0" applyNumberFormat="1" applyFont="1" applyFill="1" applyBorder="1" applyAlignment="1" applyProtection="1">
      <alignment horizontal="center"/>
      <protection/>
    </xf>
    <xf numFmtId="0" fontId="0" fillId="38" borderId="131" xfId="0" applyFont="1" applyFill="1" applyBorder="1" applyAlignment="1">
      <alignment/>
    </xf>
    <xf numFmtId="2" fontId="0" fillId="38" borderId="13" xfId="0" applyNumberFormat="1" applyFont="1" applyFill="1" applyBorder="1" applyAlignment="1">
      <alignment horizontal="center"/>
    </xf>
    <xf numFmtId="0" fontId="0" fillId="38" borderId="30" xfId="0" applyFont="1" applyFill="1" applyBorder="1" applyAlignment="1">
      <alignment/>
    </xf>
    <xf numFmtId="0" fontId="0" fillId="38" borderId="131" xfId="0" applyFont="1" applyFill="1" applyBorder="1" applyAlignment="1">
      <alignment horizontal="center"/>
    </xf>
    <xf numFmtId="298" fontId="1" fillId="38" borderId="137" xfId="0" applyNumberFormat="1" applyFont="1" applyFill="1" applyBorder="1" applyAlignment="1">
      <alignment horizontal="centerContinuous"/>
    </xf>
    <xf numFmtId="0" fontId="0" fillId="38" borderId="30" xfId="0" applyFont="1" applyFill="1" applyBorder="1" applyAlignment="1">
      <alignment horizontal="centerContinuous"/>
    </xf>
    <xf numFmtId="0" fontId="0" fillId="38" borderId="0" xfId="0" applyFont="1" applyFill="1" applyAlignment="1">
      <alignment/>
    </xf>
    <xf numFmtId="0" fontId="1" fillId="38" borderId="0" xfId="0" applyFont="1" applyFill="1" applyAlignment="1">
      <alignment/>
    </xf>
    <xf numFmtId="10" fontId="0" fillId="38" borderId="128" xfId="0" applyNumberFormat="1" applyFont="1" applyFill="1" applyBorder="1" applyAlignment="1" applyProtection="1">
      <alignment horizontal="center"/>
      <protection locked="0"/>
    </xf>
    <xf numFmtId="9" fontId="0" fillId="0" borderId="128" xfId="0" applyNumberFormat="1" applyFont="1" applyFill="1" applyBorder="1" applyAlignment="1" applyProtection="1">
      <alignment horizontal="center"/>
      <protection locked="0"/>
    </xf>
    <xf numFmtId="9" fontId="0" fillId="38" borderId="13" xfId="0" applyNumberFormat="1" applyFont="1" applyFill="1" applyBorder="1" applyAlignment="1">
      <alignment horizontal="center"/>
    </xf>
    <xf numFmtId="10" fontId="0" fillId="0" borderId="128" xfId="0" applyNumberFormat="1" applyFont="1" applyFill="1" applyBorder="1" applyAlignment="1" applyProtection="1">
      <alignment horizontal="center"/>
      <protection locked="0"/>
    </xf>
    <xf numFmtId="0" fontId="0" fillId="38" borderId="33" xfId="0" applyFont="1" applyFill="1" applyBorder="1" applyAlignment="1">
      <alignment/>
    </xf>
    <xf numFmtId="0" fontId="0" fillId="38" borderId="138" xfId="0" applyFont="1" applyFill="1" applyBorder="1" applyAlignment="1">
      <alignment/>
    </xf>
    <xf numFmtId="206" fontId="0" fillId="0" borderId="128" xfId="0" applyNumberFormat="1" applyFont="1" applyFill="1" applyBorder="1" applyAlignment="1" applyProtection="1">
      <alignment horizontal="center"/>
      <protection locked="0"/>
    </xf>
    <xf numFmtId="0" fontId="0" fillId="38" borderId="139" xfId="0" applyFont="1" applyFill="1" applyBorder="1" applyAlignment="1">
      <alignment/>
    </xf>
    <xf numFmtId="0" fontId="0" fillId="38" borderId="0" xfId="0" applyFont="1" applyFill="1" applyBorder="1" applyAlignment="1">
      <alignment/>
    </xf>
    <xf numFmtId="0" fontId="0" fillId="38" borderId="140" xfId="0" applyFont="1" applyFill="1" applyBorder="1" applyAlignment="1">
      <alignment/>
    </xf>
    <xf numFmtId="206" fontId="0" fillId="0" borderId="13" xfId="0" applyNumberFormat="1" applyFont="1" applyFill="1" applyBorder="1" applyAlignment="1" applyProtection="1">
      <alignment horizontal="center"/>
      <protection locked="0"/>
    </xf>
    <xf numFmtId="0" fontId="0" fillId="38" borderId="67" xfId="0" applyFont="1" applyFill="1" applyBorder="1" applyAlignment="1">
      <alignment/>
    </xf>
    <xf numFmtId="0" fontId="0" fillId="38" borderId="34" xfId="0" applyFont="1" applyFill="1" applyBorder="1" applyAlignment="1">
      <alignment/>
    </xf>
    <xf numFmtId="0" fontId="0" fillId="38" borderId="31" xfId="0" applyFont="1" applyFill="1" applyBorder="1" applyAlignment="1">
      <alignment/>
    </xf>
    <xf numFmtId="3" fontId="0" fillId="0" borderId="128" xfId="0" applyNumberFormat="1" applyFont="1" applyFill="1" applyBorder="1" applyAlignment="1" applyProtection="1">
      <alignment/>
      <protection locked="0"/>
    </xf>
    <xf numFmtId="3" fontId="0" fillId="38" borderId="13" xfId="0" applyNumberFormat="1" applyFont="1" applyFill="1" applyBorder="1" applyAlignment="1">
      <alignment horizontal="centerContinuous"/>
    </xf>
    <xf numFmtId="0" fontId="0" fillId="38" borderId="30" xfId="0" applyFont="1" applyFill="1" applyBorder="1" applyAlignment="1">
      <alignment horizontal="centerContinuous"/>
    </xf>
    <xf numFmtId="10" fontId="0" fillId="0" borderId="128" xfId="0" applyNumberFormat="1" applyFont="1" applyFill="1" applyBorder="1" applyAlignment="1" applyProtection="1">
      <alignment/>
      <protection/>
    </xf>
    <xf numFmtId="3" fontId="0" fillId="38" borderId="131" xfId="0" applyNumberFormat="1" applyFont="1" applyFill="1" applyBorder="1" applyAlignment="1">
      <alignment horizontal="centerContinuous"/>
    </xf>
    <xf numFmtId="210" fontId="0" fillId="38" borderId="13" xfId="0" applyNumberFormat="1" applyFont="1" applyFill="1" applyBorder="1" applyAlignment="1">
      <alignment/>
    </xf>
    <xf numFmtId="210" fontId="0" fillId="38" borderId="128" xfId="0" applyNumberFormat="1" applyFont="1" applyFill="1" applyBorder="1" applyAlignment="1">
      <alignment/>
    </xf>
    <xf numFmtId="209" fontId="0" fillId="0" borderId="128" xfId="0" applyNumberFormat="1" applyFont="1" applyFill="1" applyBorder="1" applyAlignment="1" applyProtection="1">
      <alignment horizontal="center"/>
      <protection locked="0"/>
    </xf>
    <xf numFmtId="0" fontId="0" fillId="38" borderId="131" xfId="0" applyFont="1" applyFill="1" applyBorder="1" applyAlignment="1">
      <alignment/>
    </xf>
    <xf numFmtId="189" fontId="0" fillId="38" borderId="13" xfId="0" applyNumberFormat="1" applyFont="1" applyFill="1" applyBorder="1" applyAlignment="1">
      <alignment horizontal="center"/>
    </xf>
    <xf numFmtId="0" fontId="0" fillId="38" borderId="127" xfId="0" applyFont="1" applyFill="1" applyBorder="1" applyAlignment="1">
      <alignment/>
    </xf>
    <xf numFmtId="0" fontId="0" fillId="38" borderId="33" xfId="0" applyFont="1" applyFill="1" applyBorder="1" applyAlignment="1">
      <alignment/>
    </xf>
    <xf numFmtId="0" fontId="0" fillId="38" borderId="138" xfId="0" applyFont="1" applyFill="1" applyBorder="1" applyAlignment="1">
      <alignment/>
    </xf>
    <xf numFmtId="0" fontId="0" fillId="38" borderId="67" xfId="0" applyFont="1" applyFill="1" applyBorder="1" applyAlignment="1">
      <alignment/>
    </xf>
    <xf numFmtId="0" fontId="0" fillId="38" borderId="34" xfId="0" applyFont="1" applyFill="1" applyBorder="1" applyAlignment="1">
      <alignment/>
    </xf>
    <xf numFmtId="0" fontId="0" fillId="38" borderId="31" xfId="0" applyFont="1" applyFill="1" applyBorder="1" applyAlignment="1">
      <alignment/>
    </xf>
    <xf numFmtId="0" fontId="0" fillId="33" borderId="0" xfId="0" applyFont="1" applyFill="1" applyAlignment="1">
      <alignment/>
    </xf>
    <xf numFmtId="0" fontId="0" fillId="0" borderId="0" xfId="0" applyFont="1" applyAlignment="1">
      <alignment/>
    </xf>
    <xf numFmtId="0" fontId="20" fillId="0" borderId="141" xfId="0" applyFont="1" applyBorder="1" applyAlignment="1">
      <alignment horizontal="centerContinuous"/>
    </xf>
    <xf numFmtId="0" fontId="20" fillId="0" borderId="142" xfId="0" applyFont="1" applyBorder="1" applyAlignment="1">
      <alignment horizontal="centerContinuous"/>
    </xf>
    <xf numFmtId="0" fontId="20" fillId="0" borderId="0" xfId="0" applyFont="1" applyBorder="1" applyAlignment="1">
      <alignment/>
    </xf>
    <xf numFmtId="0" fontId="20" fillId="0" borderId="33" xfId="0" applyFont="1" applyBorder="1" applyAlignment="1">
      <alignment/>
    </xf>
    <xf numFmtId="0" fontId="20" fillId="0" borderId="0" xfId="0" applyFont="1" applyBorder="1" applyAlignment="1">
      <alignment horizontal="center"/>
    </xf>
    <xf numFmtId="0" fontId="20" fillId="0" borderId="33" xfId="0" applyFont="1" applyBorder="1" applyAlignment="1">
      <alignment horizontal="center"/>
    </xf>
    <xf numFmtId="0" fontId="20" fillId="0" borderId="33" xfId="0" applyFont="1" applyBorder="1" applyAlignment="1">
      <alignment horizontal="centerContinuous"/>
    </xf>
    <xf numFmtId="3" fontId="20" fillId="0" borderId="139" xfId="0" applyNumberFormat="1" applyFont="1" applyFill="1" applyBorder="1" applyAlignment="1">
      <alignment horizontal="center"/>
    </xf>
    <xf numFmtId="0" fontId="20" fillId="0" borderId="139" xfId="0" applyFont="1" applyFill="1" applyBorder="1" applyAlignment="1">
      <alignment horizontal="center"/>
    </xf>
    <xf numFmtId="0" fontId="20" fillId="0" borderId="0" xfId="0" applyFont="1" applyFill="1" applyBorder="1" applyAlignment="1">
      <alignment horizontal="center"/>
    </xf>
    <xf numFmtId="0" fontId="0" fillId="0" borderId="0" xfId="0" applyFont="1" applyFill="1" applyAlignment="1">
      <alignment/>
    </xf>
    <xf numFmtId="0" fontId="17" fillId="0" borderId="0" xfId="0" applyFont="1" applyFill="1" applyBorder="1" applyAlignment="1">
      <alignment/>
    </xf>
    <xf numFmtId="0" fontId="0" fillId="0" borderId="0" xfId="0" applyFont="1" applyFill="1" applyAlignment="1">
      <alignment/>
    </xf>
    <xf numFmtId="0" fontId="32" fillId="0" borderId="0" xfId="0" applyFont="1" applyFill="1" applyAlignment="1">
      <alignment/>
    </xf>
    <xf numFmtId="0" fontId="0" fillId="0" borderId="0" xfId="0" applyFont="1" applyFill="1" applyAlignment="1">
      <alignment/>
    </xf>
    <xf numFmtId="0" fontId="0" fillId="0" borderId="85" xfId="0" applyFont="1" applyFill="1" applyBorder="1" applyAlignment="1">
      <alignment horizontal="centerContinuous"/>
    </xf>
    <xf numFmtId="0" fontId="0" fillId="0" borderId="143" xfId="0" applyFont="1" applyFill="1" applyBorder="1" applyAlignment="1">
      <alignment horizontal="centerContinuous"/>
    </xf>
    <xf numFmtId="0" fontId="0" fillId="0" borderId="0" xfId="0" applyFont="1" applyFill="1" applyBorder="1" applyAlignment="1">
      <alignment horizontal="center"/>
    </xf>
    <xf numFmtId="0" fontId="0" fillId="39" borderId="0" xfId="0" applyFont="1" applyFill="1" applyBorder="1" applyAlignment="1">
      <alignment horizontal="left"/>
    </xf>
    <xf numFmtId="0" fontId="0" fillId="39" borderId="0" xfId="0" applyFont="1" applyFill="1" applyBorder="1" applyAlignment="1">
      <alignment horizontal="center"/>
    </xf>
    <xf numFmtId="0" fontId="0" fillId="39" borderId="0" xfId="0" applyFont="1" applyFill="1" applyBorder="1" applyAlignment="1">
      <alignment horizontal="centerContinuous"/>
    </xf>
    <xf numFmtId="0" fontId="0" fillId="39" borderId="0" xfId="0" applyFont="1" applyFill="1" applyAlignment="1">
      <alignment horizontal="center"/>
    </xf>
    <xf numFmtId="0" fontId="0" fillId="39" borderId="0" xfId="0" applyFont="1" applyFill="1" applyAlignment="1">
      <alignment/>
    </xf>
    <xf numFmtId="0" fontId="32" fillId="33" borderId="141" xfId="0" applyFont="1" applyFill="1" applyBorder="1" applyAlignment="1">
      <alignment horizontal="centerContinuous"/>
    </xf>
    <xf numFmtId="0" fontId="32" fillId="33" borderId="144" xfId="0" applyFont="1" applyFill="1" applyBorder="1" applyAlignment="1">
      <alignment horizontal="centerContinuous"/>
    </xf>
    <xf numFmtId="0" fontId="0" fillId="0" borderId="0" xfId="0" applyFont="1" applyFill="1" applyBorder="1" applyAlignment="1">
      <alignment horizontal="center"/>
    </xf>
    <xf numFmtId="0" fontId="1" fillId="0" borderId="0" xfId="0" applyFont="1" applyFill="1" applyBorder="1" applyAlignment="1">
      <alignment horizontal="center"/>
    </xf>
    <xf numFmtId="0" fontId="0" fillId="39" borderId="0" xfId="0" applyFont="1" applyFill="1" applyBorder="1" applyAlignment="1">
      <alignment horizontal="left"/>
    </xf>
    <xf numFmtId="0" fontId="0" fillId="39" borderId="0" xfId="0" applyFont="1" applyFill="1" applyBorder="1" applyAlignment="1">
      <alignment horizontal="center"/>
    </xf>
    <xf numFmtId="0" fontId="32" fillId="39" borderId="0" xfId="0" applyFont="1" applyFill="1" applyBorder="1" applyAlignment="1">
      <alignment horizontal="centerContinuous"/>
    </xf>
    <xf numFmtId="0" fontId="0" fillId="39" borderId="0" xfId="0" applyFont="1" applyFill="1" applyAlignment="1">
      <alignment horizontal="center"/>
    </xf>
    <xf numFmtId="0" fontId="0" fillId="39" borderId="0" xfId="0" applyFont="1" applyFill="1" applyAlignment="1">
      <alignment/>
    </xf>
    <xf numFmtId="0" fontId="32" fillId="0" borderId="0" xfId="0" applyFont="1" applyFill="1" applyBorder="1" applyAlignment="1">
      <alignment horizontal="center"/>
    </xf>
    <xf numFmtId="3" fontId="0" fillId="0" borderId="0" xfId="0" applyNumberFormat="1" applyFont="1" applyFill="1" applyAlignment="1" applyProtection="1">
      <alignment horizontal="left"/>
      <protection locked="0"/>
    </xf>
    <xf numFmtId="0" fontId="0" fillId="0" borderId="0" xfId="0" applyFont="1" applyFill="1" applyAlignment="1" applyProtection="1">
      <alignment horizontal="center"/>
      <protection locked="0"/>
    </xf>
    <xf numFmtId="0" fontId="0" fillId="0" borderId="0" xfId="0" applyFont="1" applyFill="1" applyAlignment="1">
      <alignment horizontal="center"/>
    </xf>
    <xf numFmtId="3" fontId="0" fillId="0" borderId="0" xfId="0" applyNumberFormat="1" applyFont="1" applyFill="1" applyAlignment="1" applyProtection="1">
      <alignment horizontal="center"/>
      <protection locked="0"/>
    </xf>
    <xf numFmtId="0" fontId="1" fillId="0" borderId="0" xfId="0" applyFont="1" applyFill="1" applyAlignment="1">
      <alignment/>
    </xf>
    <xf numFmtId="0" fontId="0" fillId="0" borderId="0" xfId="0" applyFont="1" applyFill="1" applyAlignment="1" applyProtection="1">
      <alignment horizontal="center"/>
      <protection locked="0"/>
    </xf>
    <xf numFmtId="0" fontId="0" fillId="0" borderId="0" xfId="0" applyFont="1" applyFill="1" applyAlignment="1">
      <alignment horizontal="center"/>
    </xf>
    <xf numFmtId="0" fontId="0" fillId="0" borderId="14" xfId="0" applyFont="1" applyFill="1" applyBorder="1" applyAlignment="1">
      <alignment horizontal="center"/>
    </xf>
    <xf numFmtId="0" fontId="0" fillId="0" borderId="15" xfId="0" applyFont="1" applyFill="1" applyBorder="1" applyAlignment="1">
      <alignment horizontal="center"/>
    </xf>
    <xf numFmtId="0" fontId="0" fillId="0" borderId="16" xfId="0" applyFont="1" applyFill="1" applyBorder="1" applyAlignment="1">
      <alignment horizontal="center"/>
    </xf>
    <xf numFmtId="299" fontId="0" fillId="36" borderId="17" xfId="0" applyNumberFormat="1" applyFont="1" applyFill="1" applyBorder="1" applyAlignment="1" applyProtection="1">
      <alignment horizontal="center"/>
      <protection locked="0"/>
    </xf>
    <xf numFmtId="0" fontId="0" fillId="36" borderId="13" xfId="0" applyFont="1" applyFill="1" applyBorder="1" applyAlignment="1" applyProtection="1">
      <alignment horizontal="center"/>
      <protection/>
    </xf>
    <xf numFmtId="0" fontId="0" fillId="36" borderId="19" xfId="0" applyNumberFormat="1" applyFont="1" applyFill="1" applyBorder="1" applyAlignment="1">
      <alignment horizontal="center"/>
    </xf>
    <xf numFmtId="0" fontId="0" fillId="0" borderId="0" xfId="0" applyNumberFormat="1" applyFont="1" applyFill="1" applyBorder="1" applyAlignment="1">
      <alignment horizontal="center"/>
    </xf>
    <xf numFmtId="299" fontId="0" fillId="0" borderId="17" xfId="0" applyNumberFormat="1" applyFont="1" applyFill="1" applyBorder="1" applyAlignment="1" applyProtection="1">
      <alignment horizontal="center"/>
      <protection locked="0"/>
    </xf>
    <xf numFmtId="0" fontId="0" fillId="0" borderId="13" xfId="0" applyFont="1" applyFill="1" applyBorder="1" applyAlignment="1" applyProtection="1">
      <alignment horizontal="center"/>
      <protection/>
    </xf>
    <xf numFmtId="0" fontId="0" fillId="0" borderId="19" xfId="0" applyNumberFormat="1" applyFont="1" applyFill="1" applyBorder="1" applyAlignment="1">
      <alignment horizontal="center"/>
    </xf>
    <xf numFmtId="0" fontId="0" fillId="0" borderId="17" xfId="0" applyFont="1" applyFill="1" applyBorder="1" applyAlignment="1" applyProtection="1">
      <alignment horizontal="center"/>
      <protection locked="0"/>
    </xf>
    <xf numFmtId="232" fontId="0" fillId="0" borderId="13" xfId="0" applyNumberFormat="1" applyFont="1" applyFill="1" applyBorder="1" applyAlignment="1" applyProtection="1">
      <alignment horizontal="center"/>
      <protection locked="0"/>
    </xf>
    <xf numFmtId="178" fontId="0" fillId="33" borderId="19" xfId="0" applyNumberFormat="1" applyFont="1" applyFill="1" applyBorder="1" applyAlignment="1" applyProtection="1">
      <alignment horizontal="center"/>
      <protection locked="0"/>
    </xf>
    <xf numFmtId="299" fontId="0" fillId="37" borderId="17" xfId="0" applyNumberFormat="1" applyFont="1" applyFill="1" applyBorder="1" applyAlignment="1" applyProtection="1">
      <alignment horizontal="center"/>
      <protection locked="0"/>
    </xf>
    <xf numFmtId="0" fontId="0" fillId="37" borderId="13" xfId="0" applyFont="1" applyFill="1" applyBorder="1" applyAlignment="1" applyProtection="1">
      <alignment horizontal="center"/>
      <protection/>
    </xf>
    <xf numFmtId="0" fontId="35" fillId="40" borderId="19" xfId="0" applyFont="1" applyFill="1" applyBorder="1" applyAlignment="1">
      <alignment horizontal="center"/>
    </xf>
    <xf numFmtId="0" fontId="32" fillId="40" borderId="0" xfId="0" applyFont="1" applyFill="1" applyBorder="1" applyAlignment="1">
      <alignment horizontal="center"/>
    </xf>
    <xf numFmtId="299" fontId="0" fillId="33" borderId="17" xfId="0" applyNumberFormat="1" applyFont="1" applyFill="1" applyBorder="1" applyAlignment="1" applyProtection="1">
      <alignment horizontal="center"/>
      <protection locked="0"/>
    </xf>
    <xf numFmtId="0" fontId="0" fillId="0" borderId="13" xfId="0" applyFont="1" applyFill="1" applyBorder="1" applyAlignment="1" applyProtection="1">
      <alignment horizontal="center"/>
      <protection/>
    </xf>
    <xf numFmtId="0" fontId="0" fillId="33" borderId="19" xfId="0" applyFont="1" applyFill="1" applyBorder="1" applyAlignment="1" applyProtection="1">
      <alignment horizontal="center"/>
      <protection locked="0"/>
    </xf>
    <xf numFmtId="0" fontId="0" fillId="0" borderId="0" xfId="0" applyFont="1" applyFill="1" applyAlignment="1">
      <alignment horizontal="center"/>
    </xf>
    <xf numFmtId="0" fontId="0" fillId="0" borderId="17" xfId="0" applyFont="1" applyFill="1" applyBorder="1" applyAlignment="1" applyProtection="1">
      <alignment horizontal="center"/>
      <protection locked="0"/>
    </xf>
    <xf numFmtId="232" fontId="0" fillId="0" borderId="13" xfId="0" applyNumberFormat="1" applyFont="1" applyFill="1" applyBorder="1" applyAlignment="1" applyProtection="1">
      <alignment horizontal="center"/>
      <protection locked="0"/>
    </xf>
    <xf numFmtId="178" fontId="0" fillId="33" borderId="19" xfId="0" applyNumberFormat="1" applyFont="1" applyFill="1" applyBorder="1" applyAlignment="1" applyProtection="1">
      <alignment horizontal="center"/>
      <protection locked="0"/>
    </xf>
    <xf numFmtId="299" fontId="0" fillId="33" borderId="17" xfId="0" applyNumberFormat="1" applyFont="1" applyFill="1" applyBorder="1" applyAlignment="1" applyProtection="1">
      <alignment horizontal="center"/>
      <protection locked="0"/>
    </xf>
    <xf numFmtId="0" fontId="0" fillId="33" borderId="19" xfId="0" applyFont="1" applyFill="1" applyBorder="1" applyAlignment="1">
      <alignment horizontal="center"/>
    </xf>
    <xf numFmtId="0" fontId="0" fillId="33" borderId="19" xfId="0" applyFont="1" applyFill="1" applyBorder="1" applyAlignment="1" applyProtection="1">
      <alignment horizontal="center"/>
      <protection locked="0"/>
    </xf>
    <xf numFmtId="299" fontId="0" fillId="33" borderId="20" xfId="0" applyNumberFormat="1" applyFont="1" applyFill="1" applyBorder="1" applyAlignment="1" applyProtection="1">
      <alignment horizontal="center"/>
      <protection locked="0"/>
    </xf>
    <xf numFmtId="0" fontId="0" fillId="0" borderId="145" xfId="0" applyFont="1" applyFill="1" applyBorder="1" applyAlignment="1" applyProtection="1">
      <alignment horizontal="center"/>
      <protection/>
    </xf>
    <xf numFmtId="0" fontId="0" fillId="33" borderId="146" xfId="0" applyFont="1" applyFill="1" applyBorder="1" applyAlignment="1">
      <alignment horizontal="center"/>
    </xf>
    <xf numFmtId="299" fontId="0" fillId="37" borderId="20" xfId="0" applyNumberFormat="1" applyFont="1" applyFill="1" applyBorder="1" applyAlignment="1" applyProtection="1">
      <alignment horizontal="center"/>
      <protection locked="0"/>
    </xf>
    <xf numFmtId="0" fontId="0" fillId="37" borderId="145" xfId="0" applyFont="1" applyFill="1" applyBorder="1" applyAlignment="1" applyProtection="1">
      <alignment horizontal="center"/>
      <protection/>
    </xf>
    <xf numFmtId="0" fontId="35" fillId="40" borderId="146" xfId="0" applyFont="1" applyFill="1" applyBorder="1" applyAlignment="1" applyProtection="1">
      <alignment horizontal="center"/>
      <protection locked="0"/>
    </xf>
    <xf numFmtId="0" fontId="32" fillId="40" borderId="0" xfId="0" applyFont="1" applyFill="1" applyAlignment="1">
      <alignment horizontal="center"/>
    </xf>
    <xf numFmtId="0" fontId="0" fillId="0" borderId="105" xfId="0" applyFont="1" applyFill="1" applyBorder="1" applyAlignment="1" applyProtection="1">
      <alignment horizontal="center"/>
      <protection locked="0"/>
    </xf>
    <xf numFmtId="0" fontId="0" fillId="0" borderId="110" xfId="0" applyNumberFormat="1" applyFont="1" applyFill="1" applyBorder="1" applyAlignment="1">
      <alignment horizontal="center"/>
    </xf>
    <xf numFmtId="0" fontId="0" fillId="0" borderId="104" xfId="0" applyFont="1" applyFill="1" applyBorder="1" applyAlignment="1">
      <alignment horizontal="center"/>
    </xf>
    <xf numFmtId="310" fontId="0" fillId="0" borderId="105" xfId="0" applyNumberFormat="1" applyFont="1" applyFill="1" applyBorder="1" applyAlignment="1">
      <alignment horizontal="center"/>
    </xf>
    <xf numFmtId="0" fontId="0" fillId="0" borderId="147" xfId="0" applyFont="1" applyFill="1" applyBorder="1" applyAlignment="1">
      <alignment/>
    </xf>
    <xf numFmtId="299" fontId="0" fillId="0" borderId="0" xfId="0" applyNumberFormat="1"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299" fontId="32" fillId="0" borderId="0" xfId="0" applyNumberFormat="1" applyFont="1" applyFill="1" applyBorder="1" applyAlignment="1" applyProtection="1">
      <alignment horizontal="left"/>
      <protection locked="0"/>
    </xf>
    <xf numFmtId="0" fontId="0" fillId="0" borderId="0" xfId="0" applyFont="1" applyFill="1" applyBorder="1" applyAlignment="1" applyProtection="1">
      <alignment horizontal="center"/>
      <protection locked="0"/>
    </xf>
    <xf numFmtId="0" fontId="0" fillId="0" borderId="0" xfId="0" applyNumberFormat="1" applyFont="1" applyFill="1" applyBorder="1" applyAlignment="1">
      <alignment horizontal="center"/>
    </xf>
    <xf numFmtId="0" fontId="0" fillId="0" borderId="17" xfId="0" applyFont="1" applyFill="1" applyBorder="1" applyAlignment="1">
      <alignment horizontal="center"/>
    </xf>
    <xf numFmtId="0" fontId="0" fillId="0" borderId="13" xfId="0" applyFont="1" applyFill="1" applyBorder="1" applyAlignment="1">
      <alignment horizontal="center"/>
    </xf>
    <xf numFmtId="3" fontId="32" fillId="0" borderId="0" xfId="0" applyNumberFormat="1" applyFont="1" applyFill="1" applyAlignment="1" applyProtection="1">
      <alignment horizontal="left"/>
      <protection locked="0"/>
    </xf>
    <xf numFmtId="0" fontId="0" fillId="0" borderId="0" xfId="0" applyFont="1" applyFill="1" applyAlignment="1" applyProtection="1">
      <alignment horizontal="center"/>
      <protection locked="0"/>
    </xf>
    <xf numFmtId="0" fontId="0" fillId="0" borderId="20" xfId="0" applyFont="1" applyFill="1" applyBorder="1" applyAlignment="1">
      <alignment horizontal="center"/>
    </xf>
    <xf numFmtId="0" fontId="0" fillId="0" borderId="145" xfId="0" applyFont="1" applyFill="1" applyBorder="1" applyAlignment="1">
      <alignment horizontal="center"/>
    </xf>
    <xf numFmtId="178" fontId="0" fillId="33" borderId="146" xfId="0" applyNumberFormat="1" applyFont="1" applyFill="1" applyBorder="1" applyAlignment="1" applyProtection="1">
      <alignment horizontal="center"/>
      <protection locked="0"/>
    </xf>
    <xf numFmtId="3" fontId="0" fillId="0" borderId="0" xfId="0" applyNumberFormat="1" applyFont="1" applyFill="1" applyAlignment="1" applyProtection="1">
      <alignment horizontal="left"/>
      <protection locked="0"/>
    </xf>
    <xf numFmtId="0" fontId="0" fillId="0" borderId="0" xfId="0" applyFont="1" applyFill="1" applyBorder="1" applyAlignment="1">
      <alignment horizontal="left"/>
    </xf>
    <xf numFmtId="0" fontId="0" fillId="0" borderId="0" xfId="0" applyFont="1" applyFill="1" applyBorder="1" applyAlignment="1">
      <alignment horizontal="center"/>
    </xf>
    <xf numFmtId="178" fontId="0" fillId="0" borderId="0" xfId="0" applyNumberFormat="1" applyFont="1" applyFill="1" applyBorder="1" applyAlignment="1" applyProtection="1">
      <alignment horizontal="center"/>
      <protection locked="0"/>
    </xf>
    <xf numFmtId="0" fontId="0" fillId="37" borderId="14" xfId="0" applyFont="1" applyFill="1" applyBorder="1" applyAlignment="1">
      <alignment horizontal="center"/>
    </xf>
    <xf numFmtId="0" fontId="0" fillId="37" borderId="15" xfId="0" applyFont="1" applyFill="1" applyBorder="1" applyAlignment="1">
      <alignment horizontal="center"/>
    </xf>
    <xf numFmtId="0" fontId="0" fillId="37" borderId="16" xfId="0" applyFont="1" applyFill="1" applyBorder="1" applyAlignment="1">
      <alignment horizontal="center"/>
    </xf>
    <xf numFmtId="178" fontId="0" fillId="0" borderId="0" xfId="0" applyNumberFormat="1" applyFont="1" applyFill="1" applyBorder="1" applyAlignment="1" applyProtection="1">
      <alignment horizontal="center"/>
      <protection locked="0"/>
    </xf>
    <xf numFmtId="232" fontId="0" fillId="0" borderId="17" xfId="0" applyNumberFormat="1" applyFont="1" applyFill="1" applyBorder="1" applyAlignment="1" applyProtection="1">
      <alignment horizontal="center"/>
      <protection locked="0"/>
    </xf>
    <xf numFmtId="0" fontId="0" fillId="37" borderId="13" xfId="0" applyFont="1" applyFill="1" applyBorder="1" applyAlignment="1" applyProtection="1">
      <alignment horizontal="center"/>
      <protection locked="0"/>
    </xf>
    <xf numFmtId="178" fontId="0" fillId="0" borderId="19" xfId="41" applyNumberFormat="1" applyFont="1" applyFill="1" applyBorder="1" applyAlignment="1">
      <alignment horizontal="center"/>
    </xf>
    <xf numFmtId="232" fontId="0" fillId="37" borderId="17" xfId="0" applyNumberFormat="1" applyFont="1" applyFill="1" applyBorder="1" applyAlignment="1" applyProtection="1">
      <alignment horizontal="center"/>
      <protection locked="0"/>
    </xf>
    <xf numFmtId="178" fontId="0" fillId="37" borderId="19" xfId="41" applyNumberFormat="1" applyFont="1" applyFill="1" applyBorder="1" applyAlignment="1">
      <alignment horizontal="center"/>
    </xf>
    <xf numFmtId="9" fontId="17" fillId="0" borderId="0" xfId="41" applyFont="1" applyFill="1" applyBorder="1" applyAlignment="1">
      <alignment horizontal="center"/>
    </xf>
    <xf numFmtId="0" fontId="0" fillId="0" borderId="17" xfId="0" applyFont="1" applyFill="1" applyBorder="1" applyAlignment="1">
      <alignment horizontal="center"/>
    </xf>
    <xf numFmtId="0" fontId="0" fillId="0" borderId="13" xfId="0" applyFont="1" applyFill="1" applyBorder="1" applyAlignment="1">
      <alignment horizontal="center"/>
    </xf>
    <xf numFmtId="232" fontId="0" fillId="0" borderId="20" xfId="0" applyNumberFormat="1" applyFont="1" applyFill="1" applyBorder="1" applyAlignment="1" applyProtection="1">
      <alignment horizontal="center"/>
      <protection locked="0"/>
    </xf>
    <xf numFmtId="0" fontId="0" fillId="37" borderId="145" xfId="0" applyFont="1" applyFill="1" applyBorder="1" applyAlignment="1" applyProtection="1">
      <alignment horizontal="center"/>
      <protection locked="0"/>
    </xf>
    <xf numFmtId="178" fontId="0" fillId="0" borderId="146" xfId="41" applyNumberFormat="1" applyFont="1" applyFill="1" applyBorder="1" applyAlignment="1">
      <alignment horizontal="center"/>
    </xf>
    <xf numFmtId="232" fontId="0" fillId="37" borderId="20" xfId="0" applyNumberFormat="1" applyFont="1" applyFill="1" applyBorder="1" applyAlignment="1" applyProtection="1">
      <alignment horizontal="center"/>
      <protection locked="0"/>
    </xf>
    <xf numFmtId="178" fontId="0" fillId="37" borderId="146" xfId="41" applyNumberFormat="1" applyFont="1" applyFill="1" applyBorder="1" applyAlignment="1">
      <alignment horizontal="center"/>
    </xf>
    <xf numFmtId="0" fontId="17" fillId="0" borderId="0" xfId="0" applyFont="1" applyFill="1" applyBorder="1" applyAlignment="1">
      <alignment horizontal="center"/>
    </xf>
    <xf numFmtId="10" fontId="17" fillId="0" borderId="0" xfId="0" applyNumberFormat="1" applyFont="1" applyFill="1" applyBorder="1" applyAlignment="1">
      <alignment horizontal="center"/>
    </xf>
    <xf numFmtId="227" fontId="17" fillId="0" borderId="0" xfId="41" applyNumberFormat="1" applyFont="1" applyFill="1" applyBorder="1" applyAlignment="1">
      <alignment horizontal="center"/>
    </xf>
    <xf numFmtId="0" fontId="0" fillId="0" borderId="20" xfId="0" applyFont="1" applyFill="1" applyBorder="1" applyAlignment="1">
      <alignment horizontal="center"/>
    </xf>
    <xf numFmtId="0" fontId="0" fillId="0" borderId="145" xfId="0" applyFont="1" applyFill="1" applyBorder="1" applyAlignment="1">
      <alignment horizontal="center"/>
    </xf>
    <xf numFmtId="0" fontId="0" fillId="0" borderId="146" xfId="0" applyFont="1" applyFill="1" applyBorder="1" applyAlignment="1">
      <alignment horizontal="center"/>
    </xf>
    <xf numFmtId="0" fontId="17" fillId="0" borderId="0" xfId="0" applyFont="1" applyFill="1" applyBorder="1" applyAlignment="1" applyProtection="1">
      <alignment horizontal="center"/>
      <protection locked="0"/>
    </xf>
    <xf numFmtId="0" fontId="0" fillId="0" borderId="148" xfId="0" applyFont="1" applyFill="1" applyBorder="1" applyAlignment="1">
      <alignment horizontal="center"/>
    </xf>
    <xf numFmtId="232" fontId="0" fillId="0" borderId="110" xfId="0" applyNumberFormat="1" applyFont="1" applyFill="1" applyBorder="1" applyAlignment="1">
      <alignment horizontal="center"/>
    </xf>
    <xf numFmtId="0" fontId="0" fillId="0" borderId="148" xfId="0" applyFont="1" applyFill="1" applyBorder="1" applyAlignment="1">
      <alignment horizontal="center"/>
    </xf>
    <xf numFmtId="232" fontId="0" fillId="0" borderId="110" xfId="0" applyNumberFormat="1" applyFont="1" applyFill="1" applyBorder="1" applyAlignment="1">
      <alignment horizontal="center"/>
    </xf>
    <xf numFmtId="0" fontId="0" fillId="0" borderId="17" xfId="0" applyFont="1" applyFill="1" applyBorder="1" applyAlignment="1">
      <alignment horizontal="center"/>
    </xf>
    <xf numFmtId="0" fontId="0" fillId="0" borderId="13" xfId="0" applyFont="1" applyFill="1" applyBorder="1" applyAlignment="1">
      <alignment horizontal="center"/>
    </xf>
    <xf numFmtId="0" fontId="0" fillId="33" borderId="19" xfId="0" applyFont="1" applyFill="1" applyBorder="1" applyAlignment="1" applyProtection="1">
      <alignment horizontal="center"/>
      <protection locked="0"/>
    </xf>
    <xf numFmtId="0" fontId="0" fillId="0" borderId="15" xfId="0" applyFont="1" applyFill="1" applyBorder="1" applyAlignment="1" applyProtection="1">
      <alignment horizontal="center"/>
      <protection/>
    </xf>
    <xf numFmtId="0" fontId="0" fillId="0" borderId="149" xfId="0" applyFont="1" applyFill="1" applyBorder="1" applyAlignment="1">
      <alignment horizontal="center"/>
    </xf>
    <xf numFmtId="0" fontId="0" fillId="0" borderId="150" xfId="0" applyFont="1" applyFill="1" applyBorder="1" applyAlignment="1">
      <alignment horizontal="center"/>
    </xf>
    <xf numFmtId="0" fontId="0" fillId="33" borderId="146" xfId="0" applyFont="1" applyFill="1" applyBorder="1" applyAlignment="1" applyProtection="1">
      <alignment horizontal="center"/>
      <protection locked="0"/>
    </xf>
    <xf numFmtId="0" fontId="0" fillId="33" borderId="131" xfId="0" applyNumberFormat="1" applyFont="1" applyFill="1" applyBorder="1" applyAlignment="1" applyProtection="1">
      <alignment horizontal="center"/>
      <protection locked="0"/>
    </xf>
    <xf numFmtId="0" fontId="0" fillId="33" borderId="151" xfId="0" applyNumberFormat="1" applyFont="1" applyFill="1" applyBorder="1" applyAlignment="1" applyProtection="1">
      <alignment horizontal="center"/>
      <protection locked="0"/>
    </xf>
    <xf numFmtId="0" fontId="0" fillId="33" borderId="19" xfId="0" applyNumberFormat="1" applyFont="1" applyFill="1" applyBorder="1" applyAlignment="1" applyProtection="1">
      <alignment horizontal="center"/>
      <protection locked="0"/>
    </xf>
    <xf numFmtId="0" fontId="0" fillId="0" borderId="0" xfId="0" applyFont="1" applyFill="1" applyBorder="1" applyAlignment="1">
      <alignment horizontal="left"/>
    </xf>
    <xf numFmtId="0" fontId="0" fillId="33" borderId="131" xfId="41" applyNumberFormat="1" applyFont="1" applyFill="1" applyBorder="1" applyAlignment="1" applyProtection="1">
      <alignment horizontal="center"/>
      <protection locked="0"/>
    </xf>
    <xf numFmtId="9" fontId="0" fillId="33" borderId="151" xfId="41" applyFont="1" applyFill="1" applyBorder="1" applyAlignment="1" applyProtection="1">
      <alignment horizontal="center"/>
      <protection locked="0"/>
    </xf>
    <xf numFmtId="0" fontId="35" fillId="40" borderId="19" xfId="41" applyNumberFormat="1" applyFont="1" applyFill="1" applyBorder="1" applyAlignment="1" applyProtection="1">
      <alignment horizontal="center"/>
      <protection locked="0"/>
    </xf>
    <xf numFmtId="9" fontId="0" fillId="33" borderId="19" xfId="41" applyFont="1" applyFill="1" applyBorder="1" applyAlignment="1" applyProtection="1">
      <alignment horizontal="center"/>
      <protection locked="0"/>
    </xf>
    <xf numFmtId="0" fontId="0" fillId="0" borderId="0" xfId="0" applyFont="1" applyFill="1" applyAlignment="1">
      <alignment/>
    </xf>
    <xf numFmtId="0" fontId="0" fillId="0" borderId="0" xfId="0" applyFont="1" applyFill="1" applyBorder="1" applyAlignment="1">
      <alignment horizontal="left"/>
    </xf>
    <xf numFmtId="0" fontId="0" fillId="0" borderId="0" xfId="0" applyFont="1" applyFill="1" applyBorder="1" applyAlignment="1">
      <alignment horizontal="center"/>
    </xf>
    <xf numFmtId="0" fontId="0" fillId="0" borderId="0" xfId="0" applyFont="1" applyFill="1" applyBorder="1" applyAlignment="1" applyProtection="1">
      <alignment horizontal="center"/>
      <protection locked="0"/>
    </xf>
    <xf numFmtId="0" fontId="0" fillId="33" borderId="19" xfId="41" applyNumberFormat="1" applyFont="1" applyFill="1" applyBorder="1" applyAlignment="1" applyProtection="1">
      <alignment horizontal="center"/>
      <protection locked="0"/>
    </xf>
    <xf numFmtId="9" fontId="0" fillId="33" borderId="19" xfId="41" applyFont="1" applyFill="1" applyBorder="1" applyAlignment="1" applyProtection="1">
      <alignment horizontal="center"/>
      <protection locked="0"/>
    </xf>
    <xf numFmtId="0" fontId="35" fillId="40" borderId="131" xfId="41" applyNumberFormat="1" applyFont="1" applyFill="1" applyBorder="1" applyAlignment="1" applyProtection="1">
      <alignment horizontal="center"/>
      <protection locked="0"/>
    </xf>
    <xf numFmtId="9" fontId="0" fillId="33" borderId="151" xfId="41" applyFont="1" applyFill="1" applyBorder="1" applyAlignment="1" applyProtection="1">
      <alignment horizontal="center"/>
      <protection locked="0"/>
    </xf>
    <xf numFmtId="232" fontId="0" fillId="0" borderId="17" xfId="0" applyNumberFormat="1" applyFont="1" applyFill="1" applyBorder="1" applyAlignment="1" applyProtection="1">
      <alignment horizontal="center"/>
      <protection locked="0"/>
    </xf>
    <xf numFmtId="0" fontId="0" fillId="0" borderId="13" xfId="0" applyFont="1" applyFill="1" applyBorder="1" applyAlignment="1" applyProtection="1">
      <alignment horizontal="center"/>
      <protection/>
    </xf>
    <xf numFmtId="0" fontId="0" fillId="33" borderId="19" xfId="41" applyNumberFormat="1" applyFont="1" applyFill="1" applyBorder="1" applyAlignment="1" applyProtection="1">
      <alignment horizontal="center"/>
      <protection locked="0"/>
    </xf>
    <xf numFmtId="0" fontId="0" fillId="0" borderId="152" xfId="0" applyNumberFormat="1" applyFont="1" applyFill="1" applyBorder="1" applyAlignment="1">
      <alignment horizontal="center"/>
    </xf>
    <xf numFmtId="9" fontId="0" fillId="33" borderId="153" xfId="41" applyFont="1" applyFill="1" applyBorder="1" applyAlignment="1">
      <alignment horizontal="center"/>
    </xf>
    <xf numFmtId="0" fontId="0" fillId="33" borderId="146" xfId="41" applyNumberFormat="1" applyFont="1" applyFill="1" applyBorder="1" applyAlignment="1" applyProtection="1">
      <alignment horizontal="center"/>
      <protection locked="0"/>
    </xf>
    <xf numFmtId="9" fontId="0" fillId="33" borderId="146" xfId="41" applyFont="1" applyFill="1" applyBorder="1" applyAlignment="1">
      <alignment horizontal="center"/>
    </xf>
    <xf numFmtId="232" fontId="0" fillId="0" borderId="104" xfId="0" applyNumberFormat="1" applyFont="1" applyFill="1" applyBorder="1" applyAlignment="1" applyProtection="1">
      <alignment horizontal="center"/>
      <protection locked="0"/>
    </xf>
    <xf numFmtId="0" fontId="0" fillId="0" borderId="105" xfId="0" applyFont="1" applyFill="1" applyBorder="1" applyAlignment="1" applyProtection="1">
      <alignment horizontal="center"/>
      <protection/>
    </xf>
    <xf numFmtId="0" fontId="35" fillId="40" borderId="147" xfId="41" applyNumberFormat="1" applyFont="1" applyFill="1" applyBorder="1" applyAlignment="1" applyProtection="1">
      <alignment horizontal="center"/>
      <protection locked="0"/>
    </xf>
    <xf numFmtId="0" fontId="0" fillId="0" borderId="0" xfId="0" applyFont="1" applyFill="1" applyAlignment="1">
      <alignment horizontal="center"/>
    </xf>
    <xf numFmtId="232" fontId="0" fillId="0" borderId="104" xfId="0" applyNumberFormat="1" applyFont="1" applyFill="1" applyBorder="1" applyAlignment="1" applyProtection="1">
      <alignment horizontal="center"/>
      <protection locked="0"/>
    </xf>
    <xf numFmtId="0" fontId="0" fillId="0" borderId="105" xfId="0" applyFont="1" applyFill="1" applyBorder="1" applyAlignment="1" applyProtection="1">
      <alignment horizontal="center"/>
      <protection/>
    </xf>
    <xf numFmtId="9" fontId="0" fillId="33" borderId="0" xfId="41" applyFont="1" applyFill="1" applyBorder="1" applyAlignment="1">
      <alignment horizontal="center"/>
    </xf>
    <xf numFmtId="0" fontId="0" fillId="0" borderId="14" xfId="0" applyFont="1" applyFill="1" applyBorder="1" applyAlignment="1">
      <alignment horizontal="center"/>
    </xf>
    <xf numFmtId="0" fontId="0" fillId="0" borderId="15" xfId="0" applyFont="1" applyFill="1" applyBorder="1" applyAlignment="1">
      <alignment horizontal="center"/>
    </xf>
    <xf numFmtId="0" fontId="0" fillId="0" borderId="16" xfId="0" applyFont="1" applyFill="1" applyBorder="1" applyAlignment="1">
      <alignment horizontal="center"/>
    </xf>
    <xf numFmtId="232" fontId="17" fillId="0" borderId="0" xfId="0" applyNumberFormat="1" applyFont="1" applyFill="1" applyBorder="1" applyAlignment="1">
      <alignment horizontal="center"/>
    </xf>
    <xf numFmtId="227" fontId="0" fillId="0" borderId="110" xfId="41" applyNumberFormat="1" applyFont="1" applyFill="1" applyBorder="1" applyAlignment="1">
      <alignment horizontal="center"/>
    </xf>
    <xf numFmtId="0" fontId="0" fillId="0" borderId="14" xfId="0" applyFont="1" applyFill="1" applyBorder="1" applyAlignment="1">
      <alignment horizontal="center"/>
    </xf>
    <xf numFmtId="0" fontId="0" fillId="0" borderId="15" xfId="0" applyFont="1" applyFill="1" applyBorder="1" applyAlignment="1">
      <alignment horizontal="center"/>
    </xf>
    <xf numFmtId="0" fontId="0" fillId="0" borderId="16" xfId="0" applyFont="1" applyFill="1" applyBorder="1" applyAlignment="1">
      <alignment horizontal="center"/>
    </xf>
    <xf numFmtId="10" fontId="0" fillId="0" borderId="17" xfId="0" applyNumberFormat="1" applyFont="1" applyFill="1" applyBorder="1" applyAlignment="1" applyProtection="1">
      <alignment horizontal="center"/>
      <protection locked="0"/>
    </xf>
    <xf numFmtId="9" fontId="0" fillId="0" borderId="17" xfId="0" applyNumberFormat="1" applyFont="1" applyFill="1" applyBorder="1" applyAlignment="1" applyProtection="1">
      <alignment horizontal="center"/>
      <protection locked="0"/>
    </xf>
    <xf numFmtId="0" fontId="0" fillId="0" borderId="17" xfId="0" applyFont="1" applyFill="1" applyBorder="1" applyAlignment="1">
      <alignment horizontal="center"/>
    </xf>
    <xf numFmtId="0" fontId="0" fillId="0" borderId="13" xfId="0" applyFont="1" applyFill="1" applyBorder="1" applyAlignment="1">
      <alignment horizontal="center"/>
    </xf>
    <xf numFmtId="0" fontId="0" fillId="33" borderId="19" xfId="0" applyFont="1" applyFill="1" applyBorder="1" applyAlignment="1" applyProtection="1">
      <alignment horizontal="center"/>
      <protection locked="0"/>
    </xf>
    <xf numFmtId="9" fontId="0" fillId="0" borderId="17" xfId="0" applyNumberFormat="1"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0" fillId="0" borderId="20" xfId="0" applyFont="1" applyFill="1" applyBorder="1" applyAlignment="1">
      <alignment horizontal="center"/>
    </xf>
    <xf numFmtId="0" fontId="0" fillId="0" borderId="145" xfId="0" applyFont="1" applyFill="1" applyBorder="1" applyAlignment="1">
      <alignment horizontal="center"/>
    </xf>
    <xf numFmtId="0" fontId="0" fillId="33" borderId="146" xfId="0" applyFont="1" applyFill="1" applyBorder="1" applyAlignment="1" applyProtection="1">
      <alignment horizontal="center"/>
      <protection locked="0"/>
    </xf>
    <xf numFmtId="0" fontId="0" fillId="0" borderId="145" xfId="0" applyFont="1" applyFill="1" applyBorder="1" applyAlignment="1" applyProtection="1">
      <alignment horizontal="center"/>
      <protection locked="0"/>
    </xf>
    <xf numFmtId="0" fontId="0" fillId="0" borderId="146" xfId="0" applyNumberFormat="1" applyFont="1" applyFill="1" applyBorder="1" applyAlignment="1">
      <alignment horizontal="center"/>
    </xf>
    <xf numFmtId="9" fontId="0" fillId="0" borderId="20" xfId="0" applyNumberFormat="1" applyFont="1" applyFill="1" applyBorder="1" applyAlignment="1" applyProtection="1">
      <alignment horizontal="center"/>
      <protection locked="0"/>
    </xf>
    <xf numFmtId="9" fontId="0" fillId="0" borderId="20" xfId="0" applyNumberFormat="1" applyFont="1" applyFill="1" applyBorder="1" applyAlignment="1" applyProtection="1">
      <alignment horizontal="center"/>
      <protection locked="0"/>
    </xf>
    <xf numFmtId="0" fontId="0" fillId="0" borderId="105" xfId="0" applyFont="1" applyFill="1" applyBorder="1" applyAlignment="1" applyProtection="1">
      <alignment horizontal="center"/>
      <protection locked="0"/>
    </xf>
    <xf numFmtId="3" fontId="0" fillId="0" borderId="13" xfId="0" applyNumberFormat="1" applyFont="1" applyFill="1" applyBorder="1" applyAlignment="1" applyProtection="1">
      <alignment horizontal="center"/>
      <protection locked="0"/>
    </xf>
    <xf numFmtId="0" fontId="0" fillId="0" borderId="154" xfId="0" applyFont="1" applyFill="1" applyBorder="1" applyAlignment="1">
      <alignment horizontal="center"/>
    </xf>
    <xf numFmtId="0" fontId="0" fillId="0" borderId="128" xfId="0" applyFont="1" applyFill="1" applyBorder="1" applyAlignment="1">
      <alignment horizontal="center"/>
    </xf>
    <xf numFmtId="0" fontId="0" fillId="33" borderId="155" xfId="0" applyFont="1" applyFill="1" applyBorder="1" applyAlignment="1">
      <alignment horizontal="center"/>
    </xf>
    <xf numFmtId="0" fontId="0" fillId="0" borderId="20" xfId="0" applyFont="1" applyFill="1" applyBorder="1" applyAlignment="1" applyProtection="1">
      <alignment horizontal="center"/>
      <protection locked="0"/>
    </xf>
    <xf numFmtId="3" fontId="0" fillId="0" borderId="145" xfId="0" applyNumberFormat="1" applyFont="1" applyFill="1" applyBorder="1" applyAlignment="1" applyProtection="1">
      <alignment horizontal="center"/>
      <protection locked="0"/>
    </xf>
    <xf numFmtId="0" fontId="0" fillId="0" borderId="0" xfId="0" applyNumberFormat="1" applyFont="1" applyFill="1" applyBorder="1" applyAlignment="1" applyProtection="1">
      <alignment horizontal="center"/>
      <protection locked="0"/>
    </xf>
    <xf numFmtId="234" fontId="0" fillId="40" borderId="17" xfId="0" applyNumberFormat="1" applyFont="1" applyFill="1" applyBorder="1" applyAlignment="1" applyProtection="1">
      <alignment horizontal="center"/>
      <protection locked="0"/>
    </xf>
    <xf numFmtId="0" fontId="0" fillId="33" borderId="19" xfId="0" applyNumberFormat="1" applyFont="1" applyFill="1" applyBorder="1" applyAlignment="1">
      <alignment horizontal="center"/>
    </xf>
    <xf numFmtId="232" fontId="0" fillId="33" borderId="17" xfId="0" applyNumberFormat="1" applyFont="1" applyFill="1" applyBorder="1" applyAlignment="1" applyProtection="1">
      <alignment horizontal="center"/>
      <protection locked="0"/>
    </xf>
    <xf numFmtId="0" fontId="0" fillId="40" borderId="13" xfId="0" applyFont="1" applyFill="1" applyBorder="1" applyAlignment="1" applyProtection="1">
      <alignment horizontal="center"/>
      <protection locked="0"/>
    </xf>
    <xf numFmtId="0" fontId="0" fillId="40" borderId="19" xfId="0" applyNumberFormat="1" applyFont="1" applyFill="1" applyBorder="1" applyAlignment="1">
      <alignment horizontal="center"/>
    </xf>
    <xf numFmtId="232" fontId="0" fillId="33" borderId="17" xfId="0" applyNumberFormat="1" applyFont="1" applyFill="1" applyBorder="1" applyAlignment="1">
      <alignment horizontal="center"/>
    </xf>
    <xf numFmtId="234" fontId="0" fillId="40" borderId="17" xfId="0" applyNumberFormat="1" applyFont="1" applyFill="1" applyBorder="1" applyAlignment="1">
      <alignment horizontal="center"/>
    </xf>
    <xf numFmtId="0" fontId="0" fillId="40" borderId="13" xfId="0" applyFont="1" applyFill="1" applyBorder="1" applyAlignment="1">
      <alignment horizontal="center"/>
    </xf>
    <xf numFmtId="232" fontId="0" fillId="33" borderId="20" xfId="0" applyNumberFormat="1" applyFont="1" applyFill="1" applyBorder="1" applyAlignment="1" applyProtection="1">
      <alignment horizontal="center"/>
      <protection/>
    </xf>
    <xf numFmtId="234" fontId="0" fillId="40" borderId="20" xfId="0" applyNumberFormat="1" applyFont="1" applyFill="1" applyBorder="1" applyAlignment="1">
      <alignment horizontal="center"/>
    </xf>
    <xf numFmtId="0" fontId="0" fillId="33" borderId="146" xfId="0" applyNumberFormat="1" applyFont="1" applyFill="1" applyBorder="1" applyAlignment="1">
      <alignment horizontal="center"/>
    </xf>
    <xf numFmtId="0" fontId="0" fillId="0" borderId="147" xfId="0" applyFont="1" applyFill="1" applyBorder="1" applyAlignment="1">
      <alignment horizontal="center"/>
    </xf>
    <xf numFmtId="0" fontId="32" fillId="33" borderId="0" xfId="0" applyFont="1" applyFill="1" applyAlignment="1">
      <alignment/>
    </xf>
    <xf numFmtId="0" fontId="1" fillId="33" borderId="0" xfId="0" applyFont="1" applyFill="1" applyAlignment="1">
      <alignment/>
    </xf>
    <xf numFmtId="233" fontId="0" fillId="0" borderId="17" xfId="0" applyNumberFormat="1" applyFont="1" applyFill="1" applyBorder="1" applyAlignment="1" applyProtection="1">
      <alignment horizontal="center"/>
      <protection locked="0"/>
    </xf>
    <xf numFmtId="233" fontId="0" fillId="33" borderId="17" xfId="0" applyNumberFormat="1" applyFont="1" applyFill="1" applyBorder="1" applyAlignment="1" applyProtection="1">
      <alignment horizontal="center"/>
      <protection locked="0"/>
    </xf>
    <xf numFmtId="233" fontId="0" fillId="33" borderId="20" xfId="0" applyNumberFormat="1" applyFont="1" applyFill="1" applyBorder="1" applyAlignment="1" applyProtection="1">
      <alignment horizontal="center"/>
      <protection locked="0"/>
    </xf>
    <xf numFmtId="0" fontId="17" fillId="0" borderId="0" xfId="0" applyFont="1" applyFill="1" applyAlignment="1" applyProtection="1">
      <alignment/>
      <protection locked="0"/>
    </xf>
    <xf numFmtId="233" fontId="17" fillId="0" borderId="0" xfId="0" applyNumberFormat="1" applyFont="1" applyFill="1" applyBorder="1" applyAlignment="1">
      <alignment horizontal="center"/>
    </xf>
    <xf numFmtId="0" fontId="0" fillId="0" borderId="0" xfId="0" applyFont="1" applyFill="1" applyAlignment="1" applyProtection="1">
      <alignment/>
      <protection locked="0"/>
    </xf>
    <xf numFmtId="0" fontId="0" fillId="33" borderId="16" xfId="0" applyFont="1" applyFill="1" applyBorder="1" applyAlignment="1" applyProtection="1">
      <alignment horizontal="center"/>
      <protection locked="0"/>
    </xf>
    <xf numFmtId="0" fontId="0" fillId="0" borderId="17" xfId="0" applyFont="1" applyFill="1" applyBorder="1" applyAlignment="1">
      <alignment/>
    </xf>
    <xf numFmtId="0" fontId="0" fillId="0" borderId="13" xfId="0" applyFont="1" applyFill="1" applyBorder="1" applyAlignment="1">
      <alignment/>
    </xf>
    <xf numFmtId="0" fontId="0" fillId="33" borderId="19" xfId="0" applyFont="1" applyFill="1" applyBorder="1" applyAlignment="1" applyProtection="1">
      <alignment/>
      <protection locked="0"/>
    </xf>
    <xf numFmtId="0" fontId="0" fillId="0" borderId="20" xfId="0" applyFont="1" applyFill="1" applyBorder="1" applyAlignment="1">
      <alignment/>
    </xf>
    <xf numFmtId="0" fontId="0" fillId="0" borderId="145" xfId="0" applyFont="1" applyFill="1" applyBorder="1" applyAlignment="1">
      <alignment/>
    </xf>
    <xf numFmtId="0" fontId="0" fillId="33" borderId="146" xfId="0" applyFont="1" applyFill="1" applyBorder="1" applyAlignment="1" applyProtection="1">
      <alignment/>
      <protection locked="0"/>
    </xf>
    <xf numFmtId="0" fontId="0" fillId="0" borderId="0" xfId="0" applyFont="1" applyFill="1" applyBorder="1" applyAlignment="1">
      <alignment/>
    </xf>
    <xf numFmtId="0" fontId="0" fillId="0" borderId="0" xfId="0" applyFont="1" applyFill="1" applyBorder="1" applyAlignment="1" applyProtection="1">
      <alignment/>
      <protection locked="0"/>
    </xf>
    <xf numFmtId="0" fontId="0" fillId="0" borderId="156" xfId="0" applyFont="1" applyFill="1" applyBorder="1" applyAlignment="1">
      <alignment horizontal="center"/>
    </xf>
    <xf numFmtId="0" fontId="0" fillId="0" borderId="32" xfId="0" applyFont="1" applyFill="1" applyBorder="1" applyAlignment="1">
      <alignment horizontal="center"/>
    </xf>
    <xf numFmtId="0" fontId="0" fillId="0" borderId="96" xfId="0" applyFont="1" applyFill="1" applyBorder="1" applyAlignment="1">
      <alignment horizontal="center"/>
    </xf>
    <xf numFmtId="0" fontId="0" fillId="0" borderId="17" xfId="0" applyNumberFormat="1" applyFont="1" applyFill="1" applyBorder="1" applyAlignment="1">
      <alignment horizontal="center"/>
    </xf>
    <xf numFmtId="0" fontId="0" fillId="0" borderId="0" xfId="0" applyFont="1" applyFill="1" applyBorder="1" applyAlignment="1" applyProtection="1">
      <alignment horizontal="left"/>
      <protection locked="0"/>
    </xf>
    <xf numFmtId="0" fontId="0" fillId="33" borderId="17" xfId="0" applyFont="1" applyFill="1" applyBorder="1" applyAlignment="1" applyProtection="1">
      <alignment horizontal="center"/>
      <protection locked="0"/>
    </xf>
    <xf numFmtId="0" fontId="0" fillId="33" borderId="17" xfId="0" applyFont="1" applyFill="1" applyBorder="1" applyAlignment="1">
      <alignment horizontal="center"/>
    </xf>
    <xf numFmtId="0" fontId="17" fillId="0" borderId="0" xfId="0" applyFont="1" applyFill="1" applyBorder="1" applyAlignment="1" applyProtection="1">
      <alignment/>
      <protection locked="0"/>
    </xf>
    <xf numFmtId="0" fontId="0" fillId="33" borderId="20" xfId="0" applyFont="1" applyFill="1" applyBorder="1" applyAlignment="1">
      <alignment horizontal="center"/>
    </xf>
    <xf numFmtId="0" fontId="0" fillId="0" borderId="154" xfId="0" applyNumberFormat="1" applyFont="1" applyFill="1" applyBorder="1" applyAlignment="1">
      <alignment horizontal="center"/>
    </xf>
    <xf numFmtId="0" fontId="0" fillId="33" borderId="155" xfId="0" applyFont="1" applyFill="1" applyBorder="1" applyAlignment="1" applyProtection="1">
      <alignment horizontal="center"/>
      <protection locked="0"/>
    </xf>
    <xf numFmtId="0" fontId="0" fillId="33" borderId="0" xfId="0" applyFont="1" applyFill="1" applyBorder="1" applyAlignment="1">
      <alignment horizontal="center"/>
    </xf>
    <xf numFmtId="0" fontId="0" fillId="0" borderId="20" xfId="0" applyNumberFormat="1" applyFont="1" applyFill="1" applyBorder="1" applyAlignment="1">
      <alignment horizontal="center"/>
    </xf>
    <xf numFmtId="49" fontId="0" fillId="0" borderId="0" xfId="0" applyNumberFormat="1" applyFont="1" applyFill="1" applyBorder="1" applyAlignment="1">
      <alignment horizontal="center"/>
    </xf>
    <xf numFmtId="49" fontId="0" fillId="0" borderId="17" xfId="0" applyNumberFormat="1" applyFont="1" applyFill="1" applyBorder="1" applyAlignment="1">
      <alignment horizontal="center"/>
    </xf>
    <xf numFmtId="0" fontId="0" fillId="0" borderId="19" xfId="0" applyFont="1" applyFill="1" applyBorder="1" applyAlignment="1" applyProtection="1">
      <alignment horizontal="center"/>
      <protection locked="0"/>
    </xf>
    <xf numFmtId="49" fontId="0" fillId="0" borderId="20" xfId="0" applyNumberFormat="1" applyFont="1" applyFill="1" applyBorder="1" applyAlignment="1">
      <alignment horizontal="center"/>
    </xf>
    <xf numFmtId="0" fontId="0" fillId="0" borderId="146" xfId="0" applyFont="1" applyFill="1" applyBorder="1" applyAlignment="1" applyProtection="1">
      <alignment horizontal="center"/>
      <protection locked="0"/>
    </xf>
    <xf numFmtId="49" fontId="0" fillId="0" borderId="0" xfId="0" applyNumberFormat="1" applyFont="1" applyFill="1" applyBorder="1" applyAlignment="1">
      <alignment horizontal="left"/>
    </xf>
    <xf numFmtId="0" fontId="0" fillId="33" borderId="0" xfId="0" applyFont="1" applyFill="1" applyBorder="1" applyAlignment="1">
      <alignment/>
    </xf>
    <xf numFmtId="0" fontId="0" fillId="33" borderId="0" xfId="0" applyFont="1" applyFill="1" applyAlignment="1" applyProtection="1">
      <alignment/>
      <protection locked="0"/>
    </xf>
    <xf numFmtId="0" fontId="0" fillId="33" borderId="13" xfId="0" applyFont="1" applyFill="1" applyBorder="1" applyAlignment="1">
      <alignment horizontal="center"/>
    </xf>
    <xf numFmtId="0" fontId="0" fillId="33" borderId="13" xfId="0" applyFont="1" applyFill="1" applyBorder="1" applyAlignment="1">
      <alignment horizontal="left"/>
    </xf>
    <xf numFmtId="0" fontId="0" fillId="33" borderId="0" xfId="0" applyFont="1" applyFill="1" applyBorder="1" applyAlignment="1">
      <alignment horizontal="centerContinuous"/>
    </xf>
    <xf numFmtId="0" fontId="1" fillId="33" borderId="0" xfId="0" applyFont="1" applyFill="1" applyBorder="1" applyAlignment="1">
      <alignment/>
    </xf>
    <xf numFmtId="0" fontId="0" fillId="33" borderId="0" xfId="0" applyFont="1" applyFill="1" applyBorder="1" applyAlignment="1">
      <alignment horizontal="center"/>
    </xf>
    <xf numFmtId="0" fontId="0" fillId="33" borderId="0" xfId="0" applyFont="1" applyFill="1" applyBorder="1" applyAlignment="1">
      <alignment/>
    </xf>
    <xf numFmtId="0" fontId="1" fillId="33" borderId="0" xfId="0" applyFont="1" applyFill="1" applyBorder="1" applyAlignment="1">
      <alignment horizontal="center"/>
    </xf>
    <xf numFmtId="0" fontId="21" fillId="0" borderId="0" xfId="0" applyFont="1" applyFill="1" applyAlignment="1">
      <alignment horizontal="center"/>
    </xf>
    <xf numFmtId="0" fontId="20" fillId="0" borderId="0" xfId="0" applyFont="1" applyFill="1" applyAlignment="1">
      <alignment/>
    </xf>
    <xf numFmtId="0" fontId="20" fillId="0" borderId="0" xfId="0" applyFont="1" applyFill="1" applyBorder="1" applyAlignment="1">
      <alignment/>
    </xf>
    <xf numFmtId="0" fontId="20" fillId="0" borderId="14" xfId="0" applyFont="1" applyFill="1" applyBorder="1" applyAlignment="1">
      <alignment horizontal="center"/>
    </xf>
    <xf numFmtId="0" fontId="20" fillId="0" borderId="15" xfId="0" applyFont="1" applyFill="1" applyBorder="1" applyAlignment="1">
      <alignment horizontal="center"/>
    </xf>
    <xf numFmtId="0" fontId="20" fillId="0" borderId="15" xfId="0" applyNumberFormat="1" applyFont="1" applyFill="1" applyBorder="1" applyAlignment="1">
      <alignment horizontal="center"/>
    </xf>
    <xf numFmtId="0" fontId="20" fillId="0" borderId="149" xfId="0" applyNumberFormat="1" applyFont="1" applyFill="1" applyBorder="1" applyAlignment="1">
      <alignment horizontal="centerContinuous" vertical="center"/>
    </xf>
    <xf numFmtId="0" fontId="20" fillId="0" borderId="157" xfId="0" applyNumberFormat="1" applyFont="1" applyFill="1" applyBorder="1" applyAlignment="1">
      <alignment horizontal="centerContinuous" vertical="center"/>
    </xf>
    <xf numFmtId="0" fontId="20" fillId="0" borderId="143" xfId="0" applyNumberFormat="1" applyFont="1" applyFill="1" applyBorder="1" applyAlignment="1">
      <alignment horizontal="centerContinuous" vertical="center"/>
    </xf>
    <xf numFmtId="0" fontId="20" fillId="0" borderId="154" xfId="0" applyFont="1" applyFill="1" applyBorder="1" applyAlignment="1">
      <alignment horizontal="center"/>
    </xf>
    <xf numFmtId="0" fontId="20" fillId="0" borderId="128" xfId="0" applyFont="1" applyFill="1" applyBorder="1" applyAlignment="1">
      <alignment horizontal="left"/>
    </xf>
    <xf numFmtId="0" fontId="20" fillId="0" borderId="128" xfId="0" applyFont="1" applyFill="1" applyBorder="1" applyAlignment="1">
      <alignment horizontal="center"/>
    </xf>
    <xf numFmtId="0" fontId="20" fillId="0" borderId="70" xfId="0" applyFont="1" applyFill="1" applyBorder="1" applyAlignment="1">
      <alignment horizontal="center"/>
    </xf>
    <xf numFmtId="0" fontId="20" fillId="0" borderId="68" xfId="0" applyFont="1" applyFill="1" applyBorder="1" applyAlignment="1">
      <alignment horizontal="center"/>
    </xf>
    <xf numFmtId="0" fontId="20" fillId="0" borderId="68" xfId="0" applyFont="1" applyFill="1" applyBorder="1" applyAlignment="1">
      <alignment/>
    </xf>
    <xf numFmtId="0" fontId="20" fillId="0" borderId="158" xfId="0" applyFont="1" applyFill="1" applyBorder="1" applyAlignment="1">
      <alignment horizontal="center"/>
    </xf>
    <xf numFmtId="0" fontId="20" fillId="0" borderId="159" xfId="0" applyFont="1" applyFill="1" applyBorder="1" applyAlignment="1">
      <alignment horizontal="center"/>
    </xf>
    <xf numFmtId="0" fontId="20" fillId="0" borderId="130" xfId="0" applyFont="1" applyFill="1" applyBorder="1" applyAlignment="1">
      <alignment horizontal="center"/>
    </xf>
    <xf numFmtId="300" fontId="20" fillId="0" borderId="139" xfId="0" applyNumberFormat="1" applyFont="1" applyFill="1" applyBorder="1" applyAlignment="1">
      <alignment horizontal="center"/>
    </xf>
    <xf numFmtId="301" fontId="20" fillId="0" borderId="160" xfId="0" applyNumberFormat="1" applyFont="1" applyFill="1" applyBorder="1" applyAlignment="1">
      <alignment horizontal="center"/>
    </xf>
    <xf numFmtId="302" fontId="20" fillId="0" borderId="160" xfId="0" applyNumberFormat="1" applyFont="1" applyFill="1" applyBorder="1" applyAlignment="1">
      <alignment horizontal="center"/>
    </xf>
    <xf numFmtId="0" fontId="20" fillId="0" borderId="160" xfId="0" applyFont="1" applyFill="1" applyBorder="1" applyAlignment="1">
      <alignment/>
    </xf>
    <xf numFmtId="0" fontId="20" fillId="0" borderId="78" xfId="0" applyFont="1" applyFill="1" applyBorder="1" applyAlignment="1">
      <alignment horizontal="center"/>
    </xf>
    <xf numFmtId="0" fontId="20" fillId="0" borderId="161" xfId="0" applyFont="1" applyFill="1" applyBorder="1" applyAlignment="1">
      <alignment horizontal="center"/>
    </xf>
    <xf numFmtId="0" fontId="20" fillId="0" borderId="159" xfId="0" applyFont="1" applyFill="1" applyBorder="1" applyAlignment="1">
      <alignment/>
    </xf>
    <xf numFmtId="0" fontId="20" fillId="0" borderId="130" xfId="0" applyFont="1" applyFill="1" applyBorder="1" applyAlignment="1">
      <alignment vertical="top" wrapText="1"/>
    </xf>
    <xf numFmtId="310" fontId="20" fillId="0" borderId="130" xfId="0" applyNumberFormat="1" applyFont="1" applyFill="1" applyBorder="1" applyAlignment="1">
      <alignment horizontal="center"/>
    </xf>
    <xf numFmtId="177" fontId="20" fillId="0" borderId="139" xfId="0" applyNumberFormat="1" applyFont="1" applyFill="1" applyBorder="1" applyAlignment="1" applyProtection="1">
      <alignment horizontal="center"/>
      <protection locked="0"/>
    </xf>
    <xf numFmtId="177" fontId="20" fillId="0" borderId="160" xfId="0" applyNumberFormat="1" applyFont="1" applyFill="1" applyBorder="1" applyAlignment="1" applyProtection="1">
      <alignment horizontal="center"/>
      <protection locked="0"/>
    </xf>
    <xf numFmtId="178" fontId="20" fillId="0" borderId="160" xfId="0" applyNumberFormat="1" applyFont="1" applyFill="1" applyBorder="1" applyAlignment="1">
      <alignment horizontal="center"/>
    </xf>
    <xf numFmtId="0" fontId="20" fillId="0" borderId="160" xfId="0" applyFont="1" applyFill="1" applyBorder="1" applyAlignment="1">
      <alignment horizontal="center"/>
    </xf>
    <xf numFmtId="0" fontId="20" fillId="0" borderId="162" xfId="0" applyFont="1" applyFill="1" applyBorder="1" applyAlignment="1">
      <alignment horizontal="center"/>
    </xf>
    <xf numFmtId="0" fontId="20" fillId="0" borderId="163" xfId="0" applyFont="1" applyFill="1" applyBorder="1" applyAlignment="1">
      <alignment horizontal="center"/>
    </xf>
    <xf numFmtId="0" fontId="39" fillId="38" borderId="61" xfId="0" applyFont="1" applyFill="1" applyBorder="1" applyAlignment="1">
      <alignment horizontal="center"/>
    </xf>
    <xf numFmtId="0" fontId="20" fillId="38" borderId="164" xfId="0" applyFont="1" applyFill="1" applyBorder="1" applyAlignment="1">
      <alignment horizontal="center"/>
    </xf>
    <xf numFmtId="2" fontId="20" fillId="38" borderId="61" xfId="0" applyNumberFormat="1" applyFont="1" applyFill="1" applyBorder="1" applyAlignment="1">
      <alignment horizontal="center"/>
    </xf>
    <xf numFmtId="2" fontId="20" fillId="38" borderId="25" xfId="0" applyNumberFormat="1" applyFont="1" applyFill="1" applyBorder="1" applyAlignment="1">
      <alignment horizontal="center"/>
    </xf>
    <xf numFmtId="0" fontId="20" fillId="38" borderId="25" xfId="0" applyFont="1" applyFill="1" applyBorder="1" applyAlignment="1">
      <alignment horizontal="center"/>
    </xf>
    <xf numFmtId="0" fontId="20" fillId="38" borderId="25" xfId="0" applyFont="1" applyFill="1" applyBorder="1" applyAlignment="1">
      <alignment/>
    </xf>
    <xf numFmtId="0" fontId="20" fillId="38" borderId="44" xfId="0" applyFont="1" applyFill="1" applyBorder="1" applyAlignment="1">
      <alignment horizontal="center"/>
    </xf>
    <xf numFmtId="0" fontId="20" fillId="0" borderId="159" xfId="0" applyFont="1" applyFill="1" applyBorder="1" applyAlignment="1">
      <alignment/>
    </xf>
    <xf numFmtId="310" fontId="20" fillId="0" borderId="165" xfId="0" applyNumberFormat="1" applyFont="1" applyFill="1" applyBorder="1" applyAlignment="1">
      <alignment horizontal="center"/>
    </xf>
    <xf numFmtId="0" fontId="39" fillId="38" borderId="67" xfId="0" applyFont="1" applyFill="1" applyBorder="1" applyAlignment="1">
      <alignment horizontal="center"/>
    </xf>
    <xf numFmtId="0" fontId="20" fillId="38" borderId="32" xfId="0" applyFont="1" applyFill="1" applyBorder="1" applyAlignment="1">
      <alignment horizontal="center"/>
    </xf>
    <xf numFmtId="2" fontId="20" fillId="38" borderId="67" xfId="0" applyNumberFormat="1" applyFont="1" applyFill="1" applyBorder="1" applyAlignment="1">
      <alignment horizontal="center"/>
    </xf>
    <xf numFmtId="2" fontId="20" fillId="38" borderId="51" xfId="0" applyNumberFormat="1" applyFont="1" applyFill="1" applyBorder="1" applyAlignment="1">
      <alignment horizontal="center"/>
    </xf>
    <xf numFmtId="0" fontId="20" fillId="38" borderId="51" xfId="0" applyFont="1" applyFill="1" applyBorder="1" applyAlignment="1">
      <alignment/>
    </xf>
    <xf numFmtId="0" fontId="20" fillId="38" borderId="51" xfId="0" applyFont="1" applyFill="1" applyBorder="1" applyAlignment="1">
      <alignment horizontal="center"/>
    </xf>
    <xf numFmtId="0" fontId="20" fillId="38" borderId="166" xfId="0" applyFont="1" applyFill="1" applyBorder="1" applyAlignment="1">
      <alignment horizontal="center"/>
    </xf>
    <xf numFmtId="0" fontId="20" fillId="0" borderId="130" xfId="0" applyFont="1" applyFill="1" applyBorder="1" applyAlignment="1">
      <alignment/>
    </xf>
    <xf numFmtId="0" fontId="20" fillId="0" borderId="128" xfId="0" applyFont="1" applyFill="1" applyBorder="1" applyAlignment="1">
      <alignment horizontal="left"/>
    </xf>
    <xf numFmtId="0" fontId="20" fillId="0" borderId="128" xfId="0" applyFont="1" applyFill="1" applyBorder="1" applyAlignment="1">
      <alignment horizontal="center"/>
    </xf>
    <xf numFmtId="0" fontId="20" fillId="0" borderId="70" xfId="0" applyFont="1" applyFill="1" applyBorder="1" applyAlignment="1">
      <alignment horizontal="center"/>
    </xf>
    <xf numFmtId="0" fontId="20" fillId="0" borderId="68" xfId="0" applyFont="1" applyFill="1" applyBorder="1" applyAlignment="1">
      <alignment horizontal="center"/>
    </xf>
    <xf numFmtId="0" fontId="20" fillId="0" borderId="68" xfId="0" applyFont="1" applyFill="1" applyBorder="1" applyAlignment="1">
      <alignment/>
    </xf>
    <xf numFmtId="0" fontId="20" fillId="0" borderId="54" xfId="0" applyFont="1" applyFill="1" applyBorder="1" applyAlignment="1">
      <alignment horizontal="center"/>
    </xf>
    <xf numFmtId="0" fontId="20" fillId="0" borderId="158" xfId="0" applyFont="1" applyFill="1" applyBorder="1" applyAlignment="1">
      <alignment horizontal="center"/>
    </xf>
    <xf numFmtId="0" fontId="20" fillId="0" borderId="163" xfId="0" applyFont="1" applyFill="1" applyBorder="1" applyAlignment="1">
      <alignment horizontal="center"/>
    </xf>
    <xf numFmtId="0" fontId="20" fillId="0" borderId="130" xfId="0" applyFont="1" applyFill="1" applyBorder="1" applyAlignment="1">
      <alignment horizontal="center"/>
    </xf>
    <xf numFmtId="301" fontId="20" fillId="0" borderId="139" xfId="0" applyNumberFormat="1" applyFont="1" applyFill="1" applyBorder="1" applyAlignment="1">
      <alignment horizontal="center"/>
    </xf>
    <xf numFmtId="300" fontId="20" fillId="0" borderId="160" xfId="0" applyNumberFormat="1" applyFont="1" applyFill="1" applyBorder="1" applyAlignment="1">
      <alignment horizontal="center"/>
    </xf>
    <xf numFmtId="329" fontId="20" fillId="0" borderId="160" xfId="0" applyNumberFormat="1" applyFont="1" applyFill="1" applyBorder="1" applyAlignment="1">
      <alignment horizontal="center"/>
    </xf>
    <xf numFmtId="302" fontId="20" fillId="0" borderId="160" xfId="0" applyNumberFormat="1" applyFont="1" applyFill="1" applyBorder="1" applyAlignment="1">
      <alignment horizontal="center"/>
    </xf>
    <xf numFmtId="0" fontId="20" fillId="0" borderId="160" xfId="0" applyFont="1" applyFill="1" applyBorder="1" applyAlignment="1">
      <alignment/>
    </xf>
    <xf numFmtId="0" fontId="20" fillId="0" borderId="78" xfId="0" applyFont="1" applyFill="1" applyBorder="1" applyAlignment="1">
      <alignment horizontal="center"/>
    </xf>
    <xf numFmtId="0" fontId="20" fillId="0" borderId="161" xfId="0" applyFont="1" applyFill="1" applyBorder="1" applyAlignment="1">
      <alignment horizontal="center"/>
    </xf>
    <xf numFmtId="284" fontId="20" fillId="0" borderId="165" xfId="0" applyNumberFormat="1" applyFont="1" applyFill="1" applyBorder="1" applyAlignment="1">
      <alignment horizontal="center"/>
    </xf>
    <xf numFmtId="310" fontId="20" fillId="0" borderId="130" xfId="0" applyNumberFormat="1" applyFont="1" applyFill="1" applyBorder="1" applyAlignment="1">
      <alignment horizontal="center"/>
    </xf>
    <xf numFmtId="177" fontId="20" fillId="0" borderId="89" xfId="0" applyNumberFormat="1" applyFont="1" applyFill="1" applyBorder="1" applyAlignment="1" applyProtection="1">
      <alignment horizontal="center"/>
      <protection locked="0"/>
    </xf>
    <xf numFmtId="177" fontId="20" fillId="0" borderId="54" xfId="0" applyNumberFormat="1" applyFont="1" applyFill="1" applyBorder="1" applyAlignment="1" applyProtection="1">
      <alignment horizontal="center"/>
      <protection locked="0"/>
    </xf>
    <xf numFmtId="0" fontId="20" fillId="0" borderId="54" xfId="0" applyFont="1" applyFill="1" applyBorder="1" applyAlignment="1">
      <alignment/>
    </xf>
    <xf numFmtId="177" fontId="20" fillId="38" borderId="54" xfId="0" applyNumberFormat="1" applyFont="1" applyFill="1" applyBorder="1" applyAlignment="1" applyProtection="1">
      <alignment horizontal="center"/>
      <protection locked="0"/>
    </xf>
    <xf numFmtId="0" fontId="20" fillId="38" borderId="54" xfId="0" applyFont="1" applyFill="1" applyBorder="1" applyAlignment="1">
      <alignment/>
    </xf>
    <xf numFmtId="0" fontId="20" fillId="38" borderId="54" xfId="0" applyFont="1" applyFill="1" applyBorder="1" applyAlignment="1">
      <alignment horizontal="center"/>
    </xf>
    <xf numFmtId="0" fontId="20" fillId="38" borderId="158" xfId="0" applyFont="1" applyFill="1" applyBorder="1" applyAlignment="1">
      <alignment horizontal="center"/>
    </xf>
    <xf numFmtId="0" fontId="39" fillId="0" borderId="130" xfId="0" applyFont="1" applyFill="1" applyBorder="1" applyAlignment="1">
      <alignment horizontal="left"/>
    </xf>
    <xf numFmtId="235" fontId="20" fillId="0" borderId="139" xfId="0" applyNumberFormat="1" applyFont="1" applyFill="1" applyBorder="1" applyAlignment="1">
      <alignment horizontal="center"/>
    </xf>
    <xf numFmtId="235" fontId="20" fillId="0" borderId="160" xfId="0" applyNumberFormat="1" applyFont="1" applyFill="1" applyBorder="1" applyAlignment="1">
      <alignment horizontal="center"/>
    </xf>
    <xf numFmtId="236" fontId="20" fillId="0" borderId="160" xfId="0" applyNumberFormat="1" applyFont="1" applyFill="1" applyBorder="1" applyAlignment="1">
      <alignment horizontal="center"/>
    </xf>
    <xf numFmtId="232" fontId="20" fillId="0" borderId="160" xfId="0" applyNumberFormat="1" applyFont="1" applyFill="1" applyBorder="1" applyAlignment="1">
      <alignment horizontal="center"/>
    </xf>
    <xf numFmtId="0" fontId="20" fillId="0" borderId="160" xfId="0" applyFont="1" applyFill="1" applyBorder="1" applyAlignment="1">
      <alignment horizontal="center"/>
    </xf>
    <xf numFmtId="0" fontId="20" fillId="0" borderId="130" xfId="0" applyFont="1" applyFill="1" applyBorder="1" applyAlignment="1">
      <alignment horizontal="left"/>
    </xf>
    <xf numFmtId="0" fontId="20" fillId="0" borderId="32" xfId="0" applyFont="1" applyFill="1" applyBorder="1" applyAlignment="1">
      <alignment horizontal="center"/>
    </xf>
    <xf numFmtId="178" fontId="20" fillId="0" borderId="139" xfId="0" applyNumberFormat="1" applyFont="1" applyFill="1" applyBorder="1" applyAlignment="1" applyProtection="1">
      <alignment horizontal="center"/>
      <protection locked="0"/>
    </xf>
    <xf numFmtId="178" fontId="20" fillId="0" borderId="160" xfId="0" applyNumberFormat="1" applyFont="1" applyFill="1" applyBorder="1" applyAlignment="1" applyProtection="1">
      <alignment horizontal="center"/>
      <protection locked="0"/>
    </xf>
    <xf numFmtId="178" fontId="20" fillId="0" borderId="51" xfId="0" applyNumberFormat="1" applyFont="1" applyFill="1" applyBorder="1" applyAlignment="1">
      <alignment horizontal="center"/>
    </xf>
    <xf numFmtId="0" fontId="20" fillId="0" borderId="166" xfId="0" applyFont="1" applyFill="1" applyBorder="1" applyAlignment="1">
      <alignment horizontal="center"/>
    </xf>
    <xf numFmtId="239" fontId="20" fillId="0" borderId="139" xfId="0" applyNumberFormat="1" applyFont="1" applyFill="1" applyBorder="1" applyAlignment="1">
      <alignment horizontal="center"/>
    </xf>
    <xf numFmtId="241" fontId="20" fillId="0" borderId="160" xfId="0" applyNumberFormat="1" applyFont="1" applyFill="1" applyBorder="1" applyAlignment="1">
      <alignment horizontal="center"/>
    </xf>
    <xf numFmtId="284" fontId="20" fillId="0" borderId="160" xfId="0" applyNumberFormat="1" applyFont="1" applyFill="1" applyBorder="1" applyAlignment="1">
      <alignment horizontal="center"/>
    </xf>
    <xf numFmtId="177" fontId="20" fillId="0" borderId="139" xfId="0" applyNumberFormat="1" applyFont="1" applyFill="1" applyBorder="1" applyAlignment="1" applyProtection="1">
      <alignment horizontal="center"/>
      <protection locked="0"/>
    </xf>
    <xf numFmtId="177" fontId="20" fillId="0" borderId="160" xfId="0" applyNumberFormat="1" applyFont="1" applyFill="1" applyBorder="1" applyAlignment="1" applyProtection="1">
      <alignment horizontal="center"/>
      <protection locked="0"/>
    </xf>
    <xf numFmtId="178" fontId="20" fillId="0" borderId="54" xfId="0" applyNumberFormat="1" applyFont="1" applyFill="1" applyBorder="1" applyAlignment="1">
      <alignment horizontal="center"/>
    </xf>
    <xf numFmtId="0" fontId="39" fillId="38" borderId="164" xfId="0" applyFont="1" applyFill="1" applyBorder="1" applyAlignment="1">
      <alignment horizontal="center"/>
    </xf>
    <xf numFmtId="177" fontId="20" fillId="38" borderId="25" xfId="0" applyNumberFormat="1" applyFont="1" applyFill="1" applyBorder="1" applyAlignment="1" applyProtection="1">
      <alignment horizontal="center"/>
      <protection locked="0"/>
    </xf>
    <xf numFmtId="241" fontId="20" fillId="0" borderId="139" xfId="0" applyNumberFormat="1" applyFont="1" applyFill="1" applyBorder="1" applyAlignment="1">
      <alignment horizontal="center"/>
    </xf>
    <xf numFmtId="238" fontId="20" fillId="0" borderId="160" xfId="0" applyNumberFormat="1" applyFont="1" applyFill="1" applyBorder="1" applyAlignment="1">
      <alignment horizontal="center"/>
    </xf>
    <xf numFmtId="0" fontId="39" fillId="38" borderId="165" xfId="0" applyFont="1" applyFill="1" applyBorder="1" applyAlignment="1">
      <alignment horizontal="center"/>
    </xf>
    <xf numFmtId="0" fontId="20" fillId="0" borderId="165" xfId="0" applyFont="1" applyFill="1" applyBorder="1" applyAlignment="1">
      <alignment horizontal="center"/>
    </xf>
    <xf numFmtId="0" fontId="20" fillId="0" borderId="89" xfId="0" applyFont="1" applyFill="1" applyBorder="1" applyAlignment="1">
      <alignment horizontal="center"/>
    </xf>
    <xf numFmtId="230" fontId="20" fillId="0" borderId="139" xfId="0" applyNumberFormat="1" applyFont="1" applyFill="1" applyBorder="1" applyAlignment="1">
      <alignment horizontal="center"/>
    </xf>
    <xf numFmtId="231" fontId="20" fillId="0" borderId="160" xfId="0" applyNumberFormat="1" applyFont="1" applyFill="1" applyBorder="1" applyAlignment="1">
      <alignment horizontal="center"/>
    </xf>
    <xf numFmtId="227" fontId="20" fillId="0" borderId="160" xfId="0" applyNumberFormat="1" applyFont="1" applyFill="1" applyBorder="1" applyAlignment="1">
      <alignment horizontal="center"/>
    </xf>
    <xf numFmtId="0" fontId="20" fillId="38" borderId="26" xfId="0" applyFont="1" applyFill="1" applyBorder="1" applyAlignment="1">
      <alignment horizontal="center"/>
    </xf>
    <xf numFmtId="0" fontId="20" fillId="0" borderId="167" xfId="0" applyFont="1" applyFill="1" applyBorder="1" applyAlignment="1">
      <alignment/>
    </xf>
    <xf numFmtId="0" fontId="20" fillId="0" borderId="168" xfId="0" applyFont="1" applyFill="1" applyBorder="1" applyAlignment="1">
      <alignment/>
    </xf>
    <xf numFmtId="0" fontId="39" fillId="38" borderId="169" xfId="0" applyFont="1" applyFill="1" applyBorder="1" applyAlignment="1">
      <alignment horizontal="center"/>
    </xf>
    <xf numFmtId="0" fontId="20" fillId="38" borderId="168" xfId="0" applyFont="1" applyFill="1" applyBorder="1" applyAlignment="1">
      <alignment horizontal="center"/>
    </xf>
    <xf numFmtId="2" fontId="20" fillId="38" borderId="169" xfId="0" applyNumberFormat="1" applyFont="1" applyFill="1" applyBorder="1" applyAlignment="1">
      <alignment horizontal="center"/>
    </xf>
    <xf numFmtId="2" fontId="20" fillId="38" borderId="170" xfId="0" applyNumberFormat="1" applyFont="1" applyFill="1" applyBorder="1" applyAlignment="1">
      <alignment horizontal="center"/>
    </xf>
    <xf numFmtId="0" fontId="20" fillId="38" borderId="170" xfId="0" applyFont="1" applyFill="1" applyBorder="1" applyAlignment="1">
      <alignment/>
    </xf>
    <xf numFmtId="0" fontId="20" fillId="38" borderId="170" xfId="0" applyFont="1" applyFill="1" applyBorder="1" applyAlignment="1">
      <alignment horizontal="center"/>
    </xf>
    <xf numFmtId="0" fontId="20" fillId="38" borderId="171" xfId="0" applyFont="1" applyFill="1" applyBorder="1" applyAlignment="1">
      <alignment horizontal="center"/>
    </xf>
    <xf numFmtId="0" fontId="22" fillId="0" borderId="0" xfId="0" applyFont="1" applyFill="1" applyBorder="1" applyAlignment="1">
      <alignment/>
    </xf>
    <xf numFmtId="0" fontId="20" fillId="0" borderId="0" xfId="0" applyFont="1" applyFill="1" applyBorder="1" applyAlignment="1">
      <alignment/>
    </xf>
    <xf numFmtId="2" fontId="20" fillId="0" borderId="0" xfId="0" applyNumberFormat="1" applyFont="1" applyFill="1" applyBorder="1" applyAlignment="1">
      <alignment horizontal="center"/>
    </xf>
    <xf numFmtId="0" fontId="20" fillId="0" borderId="130" xfId="0" applyFont="1" applyFill="1" applyBorder="1" applyAlignment="1">
      <alignment horizontal="left"/>
    </xf>
    <xf numFmtId="0" fontId="20" fillId="0" borderId="89" xfId="0" applyFont="1" applyFill="1" applyBorder="1" applyAlignment="1">
      <alignment horizontal="center"/>
    </xf>
    <xf numFmtId="0" fontId="20" fillId="0" borderId="54" xfId="0" applyFont="1" applyFill="1" applyBorder="1" applyAlignment="1">
      <alignment horizontal="center"/>
    </xf>
    <xf numFmtId="0" fontId="31" fillId="0" borderId="130" xfId="0" applyFont="1" applyFill="1" applyBorder="1" applyAlignment="1">
      <alignment horizontal="left"/>
    </xf>
    <xf numFmtId="231" fontId="20" fillId="0" borderId="139" xfId="0" applyNumberFormat="1" applyFont="1" applyFill="1" applyBorder="1" applyAlignment="1">
      <alignment horizontal="center"/>
    </xf>
    <xf numFmtId="0" fontId="20" fillId="0" borderId="32" xfId="0" applyFont="1" applyFill="1" applyBorder="1" applyAlignment="1">
      <alignment horizontal="left"/>
    </xf>
    <xf numFmtId="177" fontId="20" fillId="0" borderId="67" xfId="0" applyNumberFormat="1" applyFont="1" applyFill="1" applyBorder="1" applyAlignment="1" applyProtection="1">
      <alignment horizontal="center"/>
      <protection locked="0"/>
    </xf>
    <xf numFmtId="177" fontId="20" fillId="0" borderId="51" xfId="0" applyNumberFormat="1" applyFont="1" applyFill="1" applyBorder="1" applyAlignment="1" applyProtection="1">
      <alignment horizontal="center"/>
      <protection locked="0"/>
    </xf>
    <xf numFmtId="0" fontId="20" fillId="0" borderId="159" xfId="0" applyFont="1" applyFill="1" applyBorder="1" applyAlignment="1">
      <alignment horizontal="center"/>
    </xf>
    <xf numFmtId="236" fontId="20" fillId="0" borderId="139" xfId="0" applyNumberFormat="1" applyFont="1" applyFill="1" applyBorder="1" applyAlignment="1">
      <alignment horizontal="center"/>
    </xf>
    <xf numFmtId="239" fontId="20" fillId="0" borderId="160" xfId="0" applyNumberFormat="1" applyFont="1" applyFill="1" applyBorder="1" applyAlignment="1">
      <alignment horizontal="center"/>
    </xf>
    <xf numFmtId="180" fontId="20" fillId="0" borderId="139" xfId="0" applyNumberFormat="1" applyFont="1" applyFill="1" applyBorder="1" applyAlignment="1" applyProtection="1">
      <alignment horizontal="center"/>
      <protection locked="0"/>
    </xf>
    <xf numFmtId="180" fontId="20" fillId="0" borderId="160" xfId="0" applyNumberFormat="1" applyFont="1" applyFill="1" applyBorder="1" applyAlignment="1" applyProtection="1">
      <alignment horizontal="center"/>
      <protection locked="0"/>
    </xf>
    <xf numFmtId="180" fontId="20" fillId="0" borderId="160" xfId="0" applyNumberFormat="1" applyFont="1" applyFill="1" applyBorder="1" applyAlignment="1">
      <alignment horizontal="center"/>
    </xf>
    <xf numFmtId="0" fontId="20" fillId="0" borderId="51" xfId="0" applyFont="1" applyFill="1" applyBorder="1" applyAlignment="1">
      <alignment horizontal="center"/>
    </xf>
    <xf numFmtId="0" fontId="20" fillId="0" borderId="139" xfId="0" applyFont="1" applyFill="1" applyBorder="1" applyAlignment="1">
      <alignment horizontal="left"/>
    </xf>
    <xf numFmtId="180" fontId="20" fillId="0" borderId="67" xfId="0" applyNumberFormat="1" applyFont="1" applyFill="1" applyBorder="1" applyAlignment="1" applyProtection="1">
      <alignment horizontal="center"/>
      <protection locked="0"/>
    </xf>
    <xf numFmtId="180" fontId="20" fillId="0" borderId="51" xfId="0" applyNumberFormat="1" applyFont="1" applyFill="1" applyBorder="1" applyAlignment="1" applyProtection="1">
      <alignment horizontal="center"/>
      <protection locked="0"/>
    </xf>
    <xf numFmtId="180" fontId="20" fillId="0" borderId="51" xfId="0" applyNumberFormat="1" applyFont="1" applyFill="1" applyBorder="1" applyAlignment="1">
      <alignment horizontal="center"/>
    </xf>
    <xf numFmtId="178" fontId="20" fillId="0" borderId="78" xfId="0" applyNumberFormat="1" applyFont="1" applyFill="1" applyBorder="1" applyAlignment="1">
      <alignment horizontal="center"/>
    </xf>
    <xf numFmtId="178" fontId="20" fillId="0" borderId="67" xfId="0" applyNumberFormat="1" applyFont="1" applyFill="1" applyBorder="1" applyAlignment="1" applyProtection="1">
      <alignment horizontal="center"/>
      <protection locked="0"/>
    </xf>
    <xf numFmtId="178" fontId="20" fillId="0" borderId="51" xfId="0" applyNumberFormat="1" applyFont="1" applyFill="1" applyBorder="1" applyAlignment="1" applyProtection="1">
      <alignment horizontal="center"/>
      <protection locked="0"/>
    </xf>
    <xf numFmtId="0" fontId="20" fillId="0" borderId="130" xfId="0" applyFont="1" applyFill="1" applyBorder="1" applyAlignment="1">
      <alignment vertical="top" wrapText="1"/>
    </xf>
    <xf numFmtId="0" fontId="20" fillId="0" borderId="139" xfId="0" applyFont="1" applyFill="1" applyBorder="1" applyAlignment="1">
      <alignment horizontal="center"/>
    </xf>
    <xf numFmtId="232" fontId="20" fillId="0" borderId="139" xfId="0" applyNumberFormat="1" applyFont="1" applyFill="1" applyBorder="1" applyAlignment="1">
      <alignment horizontal="center"/>
    </xf>
    <xf numFmtId="178" fontId="20" fillId="0" borderId="160" xfId="0" applyNumberFormat="1" applyFont="1" applyFill="1" applyBorder="1" applyAlignment="1">
      <alignment horizontal="center"/>
    </xf>
    <xf numFmtId="0" fontId="20" fillId="0" borderId="93" xfId="0" applyFont="1" applyFill="1" applyBorder="1" applyAlignment="1">
      <alignment horizontal="center"/>
    </xf>
    <xf numFmtId="179" fontId="20" fillId="0" borderId="139" xfId="0" applyNumberFormat="1" applyFont="1" applyFill="1" applyBorder="1" applyAlignment="1" applyProtection="1">
      <alignment horizontal="center"/>
      <protection locked="0"/>
    </xf>
    <xf numFmtId="179" fontId="20" fillId="0" borderId="160" xfId="0" applyNumberFormat="1" applyFont="1" applyFill="1" applyBorder="1" applyAlignment="1" applyProtection="1">
      <alignment horizontal="center"/>
      <protection locked="0"/>
    </xf>
    <xf numFmtId="0" fontId="20" fillId="0" borderId="162" xfId="0" applyFont="1" applyFill="1" applyBorder="1" applyAlignment="1">
      <alignment horizontal="center"/>
    </xf>
    <xf numFmtId="4" fontId="20" fillId="0" borderId="67" xfId="0" applyNumberFormat="1" applyFont="1" applyFill="1" applyBorder="1" applyAlignment="1" applyProtection="1">
      <alignment horizontal="center"/>
      <protection locked="0"/>
    </xf>
    <xf numFmtId="4" fontId="20" fillId="0" borderId="51" xfId="0" applyNumberFormat="1" applyFont="1" applyFill="1" applyBorder="1" applyAlignment="1" applyProtection="1">
      <alignment horizontal="center"/>
      <protection locked="0"/>
    </xf>
    <xf numFmtId="4" fontId="20" fillId="0" borderId="51" xfId="0" applyNumberFormat="1" applyFont="1" applyFill="1" applyBorder="1" applyAlignment="1">
      <alignment horizontal="center"/>
    </xf>
    <xf numFmtId="0" fontId="20" fillId="0" borderId="51" xfId="0" applyFont="1" applyFill="1" applyBorder="1" applyAlignment="1">
      <alignment/>
    </xf>
    <xf numFmtId="0" fontId="20" fillId="0" borderId="168" xfId="0" applyFont="1" applyFill="1" applyBorder="1" applyAlignment="1">
      <alignment horizontal="left"/>
    </xf>
    <xf numFmtId="0" fontId="20" fillId="0" borderId="168" xfId="0" applyFont="1" applyFill="1" applyBorder="1" applyAlignment="1">
      <alignment horizontal="center"/>
    </xf>
    <xf numFmtId="179" fontId="20" fillId="0" borderId="169" xfId="0" applyNumberFormat="1" applyFont="1" applyFill="1" applyBorder="1" applyAlignment="1" applyProtection="1">
      <alignment horizontal="center"/>
      <protection locked="0"/>
    </xf>
    <xf numFmtId="179" fontId="20" fillId="0" borderId="170" xfId="0" applyNumberFormat="1" applyFont="1" applyFill="1" applyBorder="1" applyAlignment="1" applyProtection="1">
      <alignment horizontal="center"/>
      <protection locked="0"/>
    </xf>
    <xf numFmtId="0" fontId="20" fillId="0" borderId="170" xfId="0" applyFont="1" applyFill="1" applyBorder="1" applyAlignment="1">
      <alignment/>
    </xf>
    <xf numFmtId="0" fontId="20" fillId="0" borderId="170" xfId="0" applyFont="1" applyFill="1" applyBorder="1" applyAlignment="1">
      <alignment horizontal="center"/>
    </xf>
    <xf numFmtId="0" fontId="20" fillId="0" borderId="172" xfId="0" applyFont="1" applyFill="1" applyBorder="1" applyAlignment="1">
      <alignment horizontal="center"/>
    </xf>
    <xf numFmtId="178" fontId="20" fillId="0" borderId="0" xfId="0" applyNumberFormat="1" applyFont="1" applyFill="1" applyBorder="1" applyAlignment="1" applyProtection="1">
      <alignment horizontal="center"/>
      <protection locked="0"/>
    </xf>
    <xf numFmtId="3" fontId="20" fillId="0" borderId="160" xfId="0" applyNumberFormat="1" applyFont="1" applyFill="1" applyBorder="1" applyAlignment="1">
      <alignment horizontal="center"/>
    </xf>
    <xf numFmtId="3" fontId="20" fillId="0" borderId="78" xfId="0" applyNumberFormat="1" applyFont="1" applyFill="1" applyBorder="1" applyAlignment="1">
      <alignment horizontal="center"/>
    </xf>
    <xf numFmtId="3" fontId="20" fillId="0" borderId="161" xfId="0" applyNumberFormat="1" applyFont="1" applyFill="1" applyBorder="1" applyAlignment="1">
      <alignment horizontal="center"/>
    </xf>
    <xf numFmtId="0" fontId="20" fillId="0" borderId="32" xfId="0" applyFont="1" applyFill="1" applyBorder="1" applyAlignment="1">
      <alignment horizontal="center"/>
    </xf>
    <xf numFmtId="178" fontId="20" fillId="0" borderId="139" xfId="0" applyNumberFormat="1" applyFont="1" applyFill="1" applyBorder="1" applyAlignment="1" applyProtection="1">
      <alignment horizontal="center"/>
      <protection locked="0"/>
    </xf>
    <xf numFmtId="178" fontId="20" fillId="0" borderId="160" xfId="0" applyNumberFormat="1" applyFont="1" applyFill="1" applyBorder="1" applyAlignment="1" applyProtection="1">
      <alignment horizontal="center"/>
      <protection locked="0"/>
    </xf>
    <xf numFmtId="178" fontId="20" fillId="0" borderId="51" xfId="0" applyNumberFormat="1" applyFont="1" applyFill="1" applyBorder="1" applyAlignment="1">
      <alignment horizontal="center"/>
    </xf>
    <xf numFmtId="178" fontId="20" fillId="0" borderId="166" xfId="0" applyNumberFormat="1" applyFont="1" applyFill="1" applyBorder="1" applyAlignment="1">
      <alignment horizontal="center"/>
    </xf>
    <xf numFmtId="0" fontId="20" fillId="0" borderId="130" xfId="0" applyFont="1" applyFill="1" applyBorder="1" applyAlignment="1">
      <alignment/>
    </xf>
    <xf numFmtId="0" fontId="20" fillId="0" borderId="51" xfId="0" applyFont="1" applyFill="1" applyBorder="1" applyAlignment="1">
      <alignment horizontal="center"/>
    </xf>
    <xf numFmtId="0" fontId="20" fillId="0" borderId="166" xfId="0" applyFont="1" applyFill="1" applyBorder="1" applyAlignment="1">
      <alignment horizontal="center"/>
    </xf>
    <xf numFmtId="236" fontId="20" fillId="0" borderId="139" xfId="0" applyNumberFormat="1" applyFont="1" applyFill="1" applyBorder="1" applyAlignment="1">
      <alignment horizontal="center"/>
    </xf>
    <xf numFmtId="239" fontId="20" fillId="0" borderId="160" xfId="0" applyNumberFormat="1" applyFont="1" applyFill="1" applyBorder="1" applyAlignment="1">
      <alignment horizontal="center"/>
    </xf>
    <xf numFmtId="235" fontId="20" fillId="0" borderId="160" xfId="0" applyNumberFormat="1" applyFont="1" applyFill="1" applyBorder="1" applyAlignment="1">
      <alignment horizontal="center"/>
    </xf>
    <xf numFmtId="233" fontId="20" fillId="0" borderId="160" xfId="0" applyNumberFormat="1" applyFont="1" applyFill="1" applyBorder="1" applyAlignment="1">
      <alignment horizontal="center"/>
    </xf>
    <xf numFmtId="235" fontId="20" fillId="0" borderId="78" xfId="0" applyNumberFormat="1" applyFont="1" applyFill="1" applyBorder="1" applyAlignment="1">
      <alignment horizontal="center"/>
    </xf>
    <xf numFmtId="284" fontId="20" fillId="0" borderId="78" xfId="0" applyNumberFormat="1" applyFont="1" applyFill="1" applyBorder="1" applyAlignment="1">
      <alignment horizontal="center"/>
    </xf>
    <xf numFmtId="179" fontId="20" fillId="0" borderId="67" xfId="0" applyNumberFormat="1" applyFont="1" applyFill="1" applyBorder="1" applyAlignment="1" applyProtection="1">
      <alignment horizontal="center"/>
      <protection locked="0"/>
    </xf>
    <xf numFmtId="179" fontId="20" fillId="0" borderId="51" xfId="0" applyNumberFormat="1" applyFont="1" applyFill="1" applyBorder="1" applyAlignment="1" applyProtection="1">
      <alignment horizontal="center"/>
      <protection locked="0"/>
    </xf>
    <xf numFmtId="0" fontId="20" fillId="0" borderId="0" xfId="0" applyFont="1" applyBorder="1" applyAlignment="1">
      <alignment horizontal="left"/>
    </xf>
    <xf numFmtId="0" fontId="20" fillId="0" borderId="159" xfId="0" applyFont="1" applyFill="1" applyBorder="1" applyAlignment="1">
      <alignment horizontal="center" wrapText="1"/>
    </xf>
    <xf numFmtId="237" fontId="20" fillId="0" borderId="139" xfId="0" applyNumberFormat="1" applyFont="1" applyFill="1" applyBorder="1" applyAlignment="1">
      <alignment horizontal="center"/>
    </xf>
    <xf numFmtId="238" fontId="20" fillId="0" borderId="160" xfId="0" applyNumberFormat="1" applyFont="1" applyFill="1" applyBorder="1" applyAlignment="1">
      <alignment horizontal="center"/>
    </xf>
    <xf numFmtId="272" fontId="20" fillId="0" borderId="160" xfId="0" applyNumberFormat="1" applyFont="1" applyFill="1" applyBorder="1" applyAlignment="1">
      <alignment horizontal="center"/>
    </xf>
    <xf numFmtId="0" fontId="20" fillId="0" borderId="159" xfId="0" applyFont="1" applyFill="1" applyBorder="1" applyAlignment="1">
      <alignment vertical="top" wrapText="1"/>
    </xf>
    <xf numFmtId="180" fontId="20" fillId="38" borderId="25" xfId="0" applyNumberFormat="1" applyFont="1" applyFill="1" applyBorder="1" applyAlignment="1">
      <alignment/>
    </xf>
    <xf numFmtId="180" fontId="20" fillId="38" borderId="51" xfId="0" applyNumberFormat="1" applyFont="1" applyFill="1" applyBorder="1" applyAlignment="1">
      <alignment/>
    </xf>
    <xf numFmtId="237" fontId="20" fillId="0" borderId="139" xfId="0" applyNumberFormat="1" applyFont="1" applyFill="1" applyBorder="1" applyAlignment="1">
      <alignment horizontal="center"/>
    </xf>
    <xf numFmtId="272" fontId="20" fillId="0" borderId="160" xfId="0" applyNumberFormat="1" applyFont="1" applyFill="1" applyBorder="1" applyAlignment="1">
      <alignment horizontal="center"/>
    </xf>
    <xf numFmtId="0" fontId="20" fillId="0" borderId="32" xfId="0" applyFont="1" applyFill="1" applyBorder="1" applyAlignment="1">
      <alignment vertical="top" wrapText="1"/>
    </xf>
    <xf numFmtId="0" fontId="20" fillId="0" borderId="159" xfId="0" applyFont="1" applyFill="1" applyBorder="1" applyAlignment="1">
      <alignment vertical="top" wrapText="1"/>
    </xf>
    <xf numFmtId="0" fontId="20" fillId="0" borderId="128" xfId="0" applyFont="1" applyFill="1" applyBorder="1" applyAlignment="1">
      <alignment vertical="top"/>
    </xf>
    <xf numFmtId="0" fontId="20" fillId="0" borderId="130" xfId="0" applyFont="1" applyFill="1" applyBorder="1" applyAlignment="1">
      <alignment vertical="top"/>
    </xf>
    <xf numFmtId="0" fontId="20" fillId="0" borderId="165" xfId="0" applyFont="1" applyFill="1" applyBorder="1" applyAlignment="1">
      <alignment/>
    </xf>
    <xf numFmtId="0" fontId="39" fillId="0" borderId="61" xfId="0" applyFont="1" applyFill="1" applyBorder="1" applyAlignment="1">
      <alignment horizontal="center"/>
    </xf>
    <xf numFmtId="0" fontId="20" fillId="0" borderId="164" xfId="0" applyFont="1" applyFill="1" applyBorder="1" applyAlignment="1">
      <alignment horizontal="center"/>
    </xf>
    <xf numFmtId="0" fontId="20" fillId="0" borderId="61" xfId="0" applyFont="1" applyFill="1" applyBorder="1" applyAlignment="1">
      <alignment horizontal="center"/>
    </xf>
    <xf numFmtId="0" fontId="20" fillId="0" borderId="25" xfId="0" applyFont="1" applyFill="1" applyBorder="1" applyAlignment="1">
      <alignment horizontal="center"/>
    </xf>
    <xf numFmtId="0" fontId="20" fillId="0" borderId="25" xfId="0" applyFont="1" applyFill="1" applyBorder="1" applyAlignment="1">
      <alignment/>
    </xf>
    <xf numFmtId="0" fontId="20" fillId="0" borderId="44" xfId="0" applyFont="1" applyFill="1" applyBorder="1" applyAlignment="1">
      <alignment horizontal="center"/>
    </xf>
    <xf numFmtId="0" fontId="20" fillId="0" borderId="32" xfId="0" applyFont="1" applyFill="1" applyBorder="1" applyAlignment="1">
      <alignment/>
    </xf>
    <xf numFmtId="0" fontId="39" fillId="0" borderId="67" xfId="0" applyFont="1" applyFill="1" applyBorder="1" applyAlignment="1">
      <alignment horizontal="center"/>
    </xf>
    <xf numFmtId="0" fontId="39" fillId="0" borderId="89" xfId="0" applyFont="1" applyFill="1" applyBorder="1" applyAlignment="1">
      <alignment horizontal="center"/>
    </xf>
    <xf numFmtId="0" fontId="20" fillId="0" borderId="168" xfId="0" applyFont="1" applyFill="1" applyBorder="1" applyAlignment="1">
      <alignment vertical="top"/>
    </xf>
    <xf numFmtId="0" fontId="39" fillId="0" borderId="169" xfId="0" applyFont="1" applyFill="1" applyBorder="1" applyAlignment="1">
      <alignment horizontal="center"/>
    </xf>
    <xf numFmtId="178" fontId="20" fillId="0" borderId="169" xfId="0" applyNumberFormat="1" applyFont="1" applyFill="1" applyBorder="1" applyAlignment="1" applyProtection="1">
      <alignment horizontal="center"/>
      <protection locked="0"/>
    </xf>
    <xf numFmtId="178" fontId="20" fillId="0" borderId="170" xfId="0" applyNumberFormat="1" applyFont="1" applyFill="1" applyBorder="1" applyAlignment="1" applyProtection="1">
      <alignment horizontal="center"/>
      <protection locked="0"/>
    </xf>
    <xf numFmtId="0" fontId="20" fillId="0" borderId="0" xfId="0" applyFont="1" applyFill="1" applyBorder="1" applyAlignment="1">
      <alignment vertical="top"/>
    </xf>
    <xf numFmtId="0" fontId="20" fillId="0" borderId="173" xfId="0" applyFont="1" applyFill="1" applyBorder="1" applyAlignment="1">
      <alignment/>
    </xf>
    <xf numFmtId="0" fontId="20" fillId="0" borderId="149" xfId="0" applyNumberFormat="1" applyFont="1" applyFill="1" applyBorder="1" applyAlignment="1">
      <alignment horizontal="centerContinuous"/>
    </xf>
    <xf numFmtId="0" fontId="20" fillId="0" borderId="157" xfId="0" applyNumberFormat="1" applyFont="1" applyFill="1" applyBorder="1" applyAlignment="1">
      <alignment horizontal="centerContinuous"/>
    </xf>
    <xf numFmtId="0" fontId="20" fillId="0" borderId="143" xfId="0" applyNumberFormat="1" applyFont="1" applyFill="1" applyBorder="1" applyAlignment="1">
      <alignment horizontal="centerContinuous"/>
    </xf>
    <xf numFmtId="0" fontId="20" fillId="0" borderId="161" xfId="0" applyFont="1" applyFill="1" applyBorder="1" applyAlignment="1" applyProtection="1">
      <alignment horizontal="center"/>
      <protection locked="0"/>
    </xf>
    <xf numFmtId="0" fontId="20" fillId="0" borderId="32" xfId="0" applyFont="1" applyFill="1" applyBorder="1" applyAlignment="1">
      <alignment/>
    </xf>
    <xf numFmtId="0" fontId="20" fillId="0" borderId="32" xfId="0" applyFont="1" applyFill="1" applyBorder="1" applyAlignment="1">
      <alignment horizontal="left"/>
    </xf>
    <xf numFmtId="178" fontId="20" fillId="0" borderId="67" xfId="0" applyNumberFormat="1" applyFont="1" applyFill="1" applyBorder="1" applyAlignment="1" applyProtection="1">
      <alignment horizontal="center"/>
      <protection locked="0"/>
    </xf>
    <xf numFmtId="178" fontId="20" fillId="0" borderId="51" xfId="0" applyNumberFormat="1" applyFont="1" applyFill="1" applyBorder="1" applyAlignment="1" applyProtection="1">
      <alignment horizontal="center"/>
      <protection locked="0"/>
    </xf>
    <xf numFmtId="0" fontId="20" fillId="0" borderId="51" xfId="0" applyFont="1" applyFill="1" applyBorder="1" applyAlignment="1">
      <alignment/>
    </xf>
    <xf numFmtId="0" fontId="20" fillId="0" borderId="166" xfId="0" applyFont="1" applyFill="1" applyBorder="1" applyAlignment="1" applyProtection="1">
      <alignment horizontal="center"/>
      <protection locked="0"/>
    </xf>
    <xf numFmtId="0" fontId="20" fillId="0" borderId="54" xfId="0" applyFont="1" applyFill="1" applyBorder="1" applyAlignment="1">
      <alignment/>
    </xf>
    <xf numFmtId="0" fontId="20" fillId="0" borderId="158" xfId="0" applyFont="1" applyFill="1" applyBorder="1" applyAlignment="1" applyProtection="1">
      <alignment horizontal="center"/>
      <protection locked="0"/>
    </xf>
    <xf numFmtId="0" fontId="20" fillId="0" borderId="78" xfId="0" applyFont="1" applyFill="1" applyBorder="1" applyAlignment="1" applyProtection="1">
      <alignment horizontal="center"/>
      <protection locked="0"/>
    </xf>
    <xf numFmtId="0" fontId="20" fillId="0" borderId="51" xfId="0" applyFont="1" applyFill="1" applyBorder="1" applyAlignment="1" applyProtection="1">
      <alignment horizontal="center"/>
      <protection locked="0"/>
    </xf>
    <xf numFmtId="0" fontId="20" fillId="0" borderId="54" xfId="0" applyFont="1" applyFill="1" applyBorder="1" applyAlignment="1" applyProtection="1">
      <alignment horizontal="center"/>
      <protection locked="0"/>
    </xf>
    <xf numFmtId="0" fontId="20" fillId="0" borderId="51" xfId="0" applyFont="1" applyFill="1" applyBorder="1" applyAlignment="1" applyProtection="1">
      <alignment/>
      <protection locked="0"/>
    </xf>
    <xf numFmtId="0" fontId="20" fillId="0" borderId="68" xfId="0" applyFont="1" applyFill="1" applyBorder="1" applyAlignment="1" applyProtection="1">
      <alignment horizontal="center"/>
      <protection locked="0"/>
    </xf>
    <xf numFmtId="0" fontId="20" fillId="0" borderId="93" xfId="0" applyFont="1" applyFill="1" applyBorder="1" applyAlignment="1">
      <alignment horizontal="center"/>
    </xf>
    <xf numFmtId="0" fontId="20" fillId="0" borderId="130" xfId="0" applyFont="1" applyFill="1" applyBorder="1" applyAlignment="1">
      <alignment vertical="top"/>
    </xf>
    <xf numFmtId="0" fontId="20" fillId="0" borderId="165" xfId="0" applyFont="1" applyFill="1" applyBorder="1" applyAlignment="1">
      <alignment horizontal="center"/>
    </xf>
    <xf numFmtId="0" fontId="20" fillId="0" borderId="167" xfId="0" applyFont="1" applyFill="1" applyBorder="1" applyAlignment="1">
      <alignment/>
    </xf>
    <xf numFmtId="0" fontId="20" fillId="0" borderId="168" xfId="0" applyFont="1" applyFill="1" applyBorder="1" applyAlignment="1">
      <alignment vertical="top"/>
    </xf>
    <xf numFmtId="0" fontId="20" fillId="0" borderId="168" xfId="0" applyFont="1" applyFill="1" applyBorder="1" applyAlignment="1">
      <alignment/>
    </xf>
    <xf numFmtId="0" fontId="20" fillId="0" borderId="168" xfId="0" applyFont="1" applyFill="1" applyBorder="1" applyAlignment="1">
      <alignment horizontal="center"/>
    </xf>
    <xf numFmtId="0" fontId="20" fillId="0" borderId="169" xfId="0" applyFont="1" applyFill="1" applyBorder="1" applyAlignment="1">
      <alignment horizontal="center"/>
    </xf>
    <xf numFmtId="0" fontId="20" fillId="0" borderId="170" xfId="0" applyFont="1" applyFill="1" applyBorder="1" applyAlignment="1">
      <alignment horizontal="center"/>
    </xf>
    <xf numFmtId="0" fontId="20" fillId="0" borderId="170" xfId="0" applyFont="1" applyFill="1" applyBorder="1" applyAlignment="1">
      <alignment/>
    </xf>
    <xf numFmtId="0" fontId="20" fillId="0" borderId="172" xfId="0" applyFont="1" applyFill="1" applyBorder="1" applyAlignment="1">
      <alignment horizontal="center"/>
    </xf>
    <xf numFmtId="0" fontId="20" fillId="0" borderId="0" xfId="0" applyFont="1" applyFill="1" applyBorder="1" applyAlignment="1">
      <alignment vertical="top" wrapText="1"/>
    </xf>
    <xf numFmtId="0" fontId="20" fillId="0" borderId="0" xfId="0" applyFont="1" applyFill="1" applyBorder="1" applyAlignment="1" applyProtection="1">
      <alignment/>
      <protection locked="0"/>
    </xf>
    <xf numFmtId="0" fontId="20" fillId="0" borderId="71" xfId="0" applyFont="1" applyFill="1" applyBorder="1" applyAlignment="1">
      <alignment horizontal="center"/>
    </xf>
    <xf numFmtId="0" fontId="20" fillId="0" borderId="139" xfId="0" applyFont="1" applyFill="1" applyBorder="1" applyAlignment="1" applyProtection="1">
      <alignment horizontal="center"/>
      <protection locked="0"/>
    </xf>
    <xf numFmtId="0" fontId="20" fillId="0" borderId="160" xfId="0" applyFont="1" applyFill="1" applyBorder="1" applyAlignment="1" applyProtection="1">
      <alignment horizontal="center"/>
      <protection locked="0"/>
    </xf>
    <xf numFmtId="0" fontId="20" fillId="0" borderId="160" xfId="0" applyFont="1" applyFill="1" applyBorder="1" applyAlignment="1" applyProtection="1">
      <alignment/>
      <protection locked="0"/>
    </xf>
    <xf numFmtId="0" fontId="20" fillId="0" borderId="80" xfId="0" applyFont="1" applyFill="1" applyBorder="1" applyAlignment="1">
      <alignment horizontal="center"/>
    </xf>
    <xf numFmtId="178" fontId="20" fillId="0" borderId="89" xfId="0" applyNumberFormat="1" applyFont="1" applyFill="1" applyBorder="1" applyAlignment="1" applyProtection="1">
      <alignment horizontal="center"/>
      <protection locked="0"/>
    </xf>
    <xf numFmtId="178" fontId="20" fillId="0" borderId="54" xfId="0" applyNumberFormat="1" applyFont="1" applyFill="1" applyBorder="1" applyAlignment="1" applyProtection="1">
      <alignment horizontal="center"/>
      <protection locked="0"/>
    </xf>
    <xf numFmtId="178" fontId="20" fillId="0" borderId="56" xfId="0" applyNumberFormat="1" applyFont="1" applyFill="1" applyBorder="1" applyAlignment="1">
      <alignment horizontal="center"/>
    </xf>
    <xf numFmtId="178" fontId="20" fillId="0" borderId="174" xfId="0" applyNumberFormat="1" applyFont="1" applyFill="1" applyBorder="1" applyAlignment="1" applyProtection="1">
      <alignment horizontal="center"/>
      <protection locked="0"/>
    </xf>
    <xf numFmtId="178" fontId="20" fillId="0" borderId="78" xfId="0" applyNumberFormat="1" applyFont="1" applyFill="1" applyBorder="1" applyAlignment="1" applyProtection="1">
      <alignment horizontal="center"/>
      <protection locked="0"/>
    </xf>
    <xf numFmtId="0" fontId="20" fillId="0" borderId="78" xfId="0" applyFont="1" applyFill="1" applyBorder="1" applyAlignment="1">
      <alignment/>
    </xf>
    <xf numFmtId="0" fontId="20" fillId="0" borderId="54" xfId="0" applyFont="1" applyFill="1" applyBorder="1" applyAlignment="1" applyProtection="1">
      <alignment horizontal="center"/>
      <protection locked="0"/>
    </xf>
    <xf numFmtId="0" fontId="20" fillId="0" borderId="26" xfId="0" applyFont="1" applyFill="1" applyBorder="1" applyAlignment="1">
      <alignment horizontal="center"/>
    </xf>
    <xf numFmtId="0" fontId="20" fillId="0" borderId="160" xfId="0" applyFont="1" applyFill="1" applyBorder="1" applyAlignment="1" applyProtection="1">
      <alignment/>
      <protection locked="0"/>
    </xf>
    <xf numFmtId="0" fontId="20" fillId="0" borderId="175" xfId="0" applyFont="1" applyFill="1" applyBorder="1" applyAlignment="1">
      <alignment/>
    </xf>
    <xf numFmtId="2" fontId="20" fillId="0" borderId="160" xfId="0" applyNumberFormat="1" applyFont="1" applyFill="1" applyBorder="1" applyAlignment="1" applyProtection="1">
      <alignment horizontal="center"/>
      <protection locked="0"/>
    </xf>
    <xf numFmtId="2" fontId="20" fillId="0" borderId="51" xfId="0" applyNumberFormat="1" applyFont="1" applyFill="1" applyBorder="1" applyAlignment="1" applyProtection="1">
      <alignment horizontal="center"/>
      <protection locked="0"/>
    </xf>
    <xf numFmtId="2" fontId="20" fillId="0" borderId="51" xfId="0" applyNumberFormat="1" applyFont="1" applyFill="1" applyBorder="1" applyAlignment="1">
      <alignment horizontal="center"/>
    </xf>
    <xf numFmtId="2" fontId="20" fillId="0" borderId="52" xfId="0" applyNumberFormat="1" applyFont="1" applyFill="1" applyBorder="1" applyAlignment="1">
      <alignment horizontal="center"/>
    </xf>
    <xf numFmtId="0" fontId="20" fillId="0" borderId="56" xfId="0" applyFont="1" applyFill="1" applyBorder="1" applyAlignment="1">
      <alignment horizontal="center"/>
    </xf>
    <xf numFmtId="265" fontId="20" fillId="0" borderId="139" xfId="0" applyNumberFormat="1" applyFont="1" applyFill="1" applyBorder="1" applyAlignment="1" applyProtection="1">
      <alignment horizontal="center"/>
      <protection locked="0"/>
    </xf>
    <xf numFmtId="264" fontId="20" fillId="0" borderId="160" xfId="0" applyNumberFormat="1" applyFont="1" applyFill="1" applyBorder="1" applyAlignment="1" applyProtection="1">
      <alignment horizontal="center"/>
      <protection locked="0"/>
    </xf>
    <xf numFmtId="264" fontId="20" fillId="0" borderId="160" xfId="0" applyNumberFormat="1" applyFont="1" applyFill="1" applyBorder="1" applyAlignment="1">
      <alignment horizontal="center"/>
    </xf>
    <xf numFmtId="264" fontId="20" fillId="0" borderId="78" xfId="0" applyNumberFormat="1" applyFont="1" applyFill="1" applyBorder="1" applyAlignment="1">
      <alignment horizontal="center"/>
    </xf>
    <xf numFmtId="264" fontId="20" fillId="0" borderId="80" xfId="0" applyNumberFormat="1" applyFont="1" applyFill="1" applyBorder="1" applyAlignment="1">
      <alignment horizontal="center"/>
    </xf>
    <xf numFmtId="2" fontId="20" fillId="38" borderId="54" xfId="0" applyNumberFormat="1" applyFont="1" applyFill="1" applyBorder="1" applyAlignment="1">
      <alignment horizontal="center"/>
    </xf>
    <xf numFmtId="2" fontId="20" fillId="38" borderId="26" xfId="0" applyNumberFormat="1" applyFont="1" applyFill="1" applyBorder="1" applyAlignment="1">
      <alignment horizontal="center"/>
    </xf>
    <xf numFmtId="2" fontId="20" fillId="38" borderId="65" xfId="0" applyNumberFormat="1" applyFont="1" applyFill="1" applyBorder="1" applyAlignment="1">
      <alignment horizontal="center"/>
    </xf>
    <xf numFmtId="0" fontId="20" fillId="38" borderId="52" xfId="0" applyFont="1" applyFill="1" applyBorder="1" applyAlignment="1">
      <alignment horizontal="center"/>
    </xf>
    <xf numFmtId="309" fontId="20" fillId="0" borderId="160" xfId="0" applyNumberFormat="1" applyFont="1" applyFill="1" applyBorder="1" applyAlignment="1">
      <alignment horizontal="center"/>
    </xf>
    <xf numFmtId="309" fontId="20" fillId="0" borderId="80" xfId="0" applyNumberFormat="1" applyFont="1" applyFill="1" applyBorder="1" applyAlignment="1">
      <alignment horizontal="center"/>
    </xf>
    <xf numFmtId="0" fontId="20" fillId="38" borderId="165" xfId="0" applyFont="1" applyFill="1" applyBorder="1" applyAlignment="1">
      <alignment horizontal="center"/>
    </xf>
    <xf numFmtId="2" fontId="20" fillId="38" borderId="89" xfId="0" applyNumberFormat="1" applyFont="1" applyFill="1" applyBorder="1" applyAlignment="1">
      <alignment horizontal="center"/>
    </xf>
    <xf numFmtId="178" fontId="20" fillId="0" borderId="70" xfId="0" applyNumberFormat="1" applyFont="1" applyFill="1" applyBorder="1" applyAlignment="1" applyProtection="1">
      <alignment horizontal="center"/>
      <protection locked="0"/>
    </xf>
    <xf numFmtId="178" fontId="20" fillId="0" borderId="68" xfId="0" applyNumberFormat="1" applyFont="1" applyFill="1" applyBorder="1" applyAlignment="1" applyProtection="1">
      <alignment horizontal="center"/>
      <protection locked="0"/>
    </xf>
    <xf numFmtId="178" fontId="20" fillId="0" borderId="68" xfId="0" applyNumberFormat="1" applyFont="1" applyFill="1" applyBorder="1" applyAlignment="1">
      <alignment horizontal="center"/>
    </xf>
    <xf numFmtId="0" fontId="20" fillId="0" borderId="71" xfId="0" applyFont="1" applyFill="1" applyBorder="1" applyAlignment="1">
      <alignment horizontal="center"/>
    </xf>
    <xf numFmtId="0" fontId="20" fillId="0" borderId="175" xfId="0" applyFont="1" applyFill="1" applyBorder="1" applyAlignment="1">
      <alignment horizontal="center"/>
    </xf>
    <xf numFmtId="0" fontId="20" fillId="0" borderId="52" xfId="0" applyFont="1" applyFill="1" applyBorder="1" applyAlignment="1">
      <alignment horizontal="center"/>
    </xf>
    <xf numFmtId="0" fontId="20" fillId="0" borderId="68" xfId="0" applyFont="1" applyFill="1" applyBorder="1" applyAlignment="1" applyProtection="1">
      <alignment/>
      <protection locked="0"/>
    </xf>
    <xf numFmtId="0" fontId="20" fillId="0" borderId="139" xfId="0" applyFont="1" applyFill="1" applyBorder="1" applyAlignment="1" applyProtection="1">
      <alignment horizontal="center"/>
      <protection locked="0"/>
    </xf>
    <xf numFmtId="0" fontId="20" fillId="0" borderId="160" xfId="0" applyFont="1" applyFill="1" applyBorder="1" applyAlignment="1" applyProtection="1">
      <alignment horizontal="center"/>
      <protection locked="0"/>
    </xf>
    <xf numFmtId="0" fontId="20" fillId="0" borderId="80" xfId="0" applyFont="1" applyFill="1" applyBorder="1" applyAlignment="1">
      <alignment horizontal="center"/>
    </xf>
    <xf numFmtId="0" fontId="20" fillId="0" borderId="51" xfId="0" applyFont="1" applyFill="1" applyBorder="1" applyAlignment="1" applyProtection="1">
      <alignment/>
      <protection locked="0"/>
    </xf>
    <xf numFmtId="0" fontId="20" fillId="0" borderId="154" xfId="0" applyFont="1" applyFill="1" applyBorder="1" applyAlignment="1">
      <alignment horizontal="center"/>
    </xf>
    <xf numFmtId="178" fontId="20" fillId="0" borderId="67" xfId="0" applyNumberFormat="1" applyFont="1" applyFill="1" applyBorder="1" applyAlignment="1">
      <alignment horizontal="center"/>
    </xf>
    <xf numFmtId="178" fontId="20" fillId="0" borderId="169" xfId="0" applyNumberFormat="1" applyFont="1" applyFill="1" applyBorder="1" applyAlignment="1">
      <alignment horizontal="center"/>
    </xf>
    <xf numFmtId="178" fontId="20" fillId="0" borderId="170" xfId="0" applyNumberFormat="1" applyFont="1" applyFill="1" applyBorder="1" applyAlignment="1">
      <alignment horizontal="center"/>
    </xf>
    <xf numFmtId="0" fontId="20" fillId="0" borderId="171" xfId="0" applyFont="1" applyFill="1" applyBorder="1" applyAlignment="1">
      <alignment horizontal="center"/>
    </xf>
    <xf numFmtId="178" fontId="20" fillId="0" borderId="0" xfId="0" applyNumberFormat="1" applyFont="1" applyFill="1" applyBorder="1" applyAlignment="1">
      <alignment horizontal="center"/>
    </xf>
    <xf numFmtId="0" fontId="20" fillId="0" borderId="0" xfId="0" applyFont="1" applyFill="1" applyAlignment="1">
      <alignment horizontal="center"/>
    </xf>
    <xf numFmtId="0" fontId="21" fillId="0" borderId="0" xfId="0" applyFont="1" applyFill="1" applyAlignment="1" applyProtection="1">
      <alignment/>
      <protection locked="0"/>
    </xf>
    <xf numFmtId="0" fontId="0" fillId="33" borderId="0" xfId="0" applyNumberFormat="1" applyFont="1" applyFill="1" applyBorder="1" applyAlignment="1" applyProtection="1">
      <alignment horizontal="center"/>
      <protection locked="0"/>
    </xf>
    <xf numFmtId="0" fontId="0" fillId="33" borderId="0" xfId="0" applyNumberFormat="1" applyFont="1" applyFill="1" applyAlignment="1" applyProtection="1">
      <alignment/>
      <protection locked="0"/>
    </xf>
    <xf numFmtId="318" fontId="0" fillId="33" borderId="0" xfId="0" applyNumberFormat="1" applyFont="1" applyFill="1" applyAlignment="1" applyProtection="1">
      <alignment horizontal="center"/>
      <protection locked="0"/>
    </xf>
    <xf numFmtId="0" fontId="0" fillId="33" borderId="0" xfId="0" applyFont="1" applyFill="1" applyAlignment="1" applyProtection="1">
      <alignment horizontal="center"/>
      <protection locked="0"/>
    </xf>
    <xf numFmtId="57" fontId="0" fillId="33" borderId="0" xfId="0" applyNumberFormat="1" applyFont="1" applyFill="1" applyAlignment="1" applyProtection="1">
      <alignment horizontal="center"/>
      <protection locked="0"/>
    </xf>
    <xf numFmtId="38" fontId="0" fillId="33" borderId="0" xfId="48" applyFont="1" applyFill="1" applyAlignment="1" applyProtection="1">
      <alignment horizontal="center"/>
      <protection locked="0"/>
    </xf>
    <xf numFmtId="308" fontId="0" fillId="33" borderId="0" xfId="48" applyNumberFormat="1" applyFont="1" applyFill="1" applyAlignment="1" applyProtection="1">
      <alignment horizontal="center"/>
      <protection locked="0"/>
    </xf>
    <xf numFmtId="0" fontId="0" fillId="0" borderId="0" xfId="0" applyNumberFormat="1" applyFont="1" applyAlignment="1" applyProtection="1">
      <alignment/>
      <protection locked="0"/>
    </xf>
    <xf numFmtId="0" fontId="0" fillId="33" borderId="13" xfId="0" applyNumberFormat="1" applyFont="1" applyFill="1" applyBorder="1" applyAlignment="1" applyProtection="1">
      <alignment horizontal="center" vertical="center"/>
      <protection locked="0"/>
    </xf>
    <xf numFmtId="0" fontId="0" fillId="41" borderId="13" xfId="0" applyNumberFormat="1" applyFont="1" applyFill="1" applyBorder="1" applyAlignment="1" applyProtection="1">
      <alignment horizontal="center" vertical="center"/>
      <protection locked="0"/>
    </xf>
    <xf numFmtId="0" fontId="0" fillId="34" borderId="13" xfId="0" applyNumberFormat="1" applyFont="1" applyFill="1" applyBorder="1" applyAlignment="1" applyProtection="1">
      <alignment horizontal="center" vertical="center"/>
      <protection locked="0"/>
    </xf>
    <xf numFmtId="0" fontId="0" fillId="42" borderId="13" xfId="0" applyNumberFormat="1" applyFont="1" applyFill="1" applyBorder="1" applyAlignment="1" applyProtection="1">
      <alignment horizontal="center" vertical="center"/>
      <protection locked="0"/>
    </xf>
    <xf numFmtId="318" fontId="0" fillId="42" borderId="13" xfId="0" applyNumberFormat="1" applyFont="1" applyFill="1" applyBorder="1" applyAlignment="1" applyProtection="1">
      <alignment horizontal="center" vertical="center"/>
      <protection locked="0"/>
    </xf>
    <xf numFmtId="0" fontId="0" fillId="33" borderId="0" xfId="0" applyNumberFormat="1" applyFont="1" applyFill="1" applyAlignment="1" applyProtection="1">
      <alignment horizontal="left"/>
      <protection locked="0"/>
    </xf>
    <xf numFmtId="0" fontId="0" fillId="35" borderId="13" xfId="0" applyNumberFormat="1" applyFont="1" applyFill="1" applyBorder="1" applyAlignment="1" applyProtection="1">
      <alignment horizontal="center" vertical="center"/>
      <protection locked="0"/>
    </xf>
    <xf numFmtId="318" fontId="0" fillId="35" borderId="13" xfId="0" applyNumberFormat="1" applyFont="1" applyFill="1" applyBorder="1" applyAlignment="1" applyProtection="1">
      <alignment horizontal="center" vertical="center"/>
      <protection locked="0"/>
    </xf>
    <xf numFmtId="0" fontId="0" fillId="37" borderId="13" xfId="0" applyFont="1" applyFill="1" applyBorder="1" applyAlignment="1">
      <alignment horizontal="center"/>
    </xf>
    <xf numFmtId="0" fontId="0" fillId="37" borderId="32" xfId="0" applyFont="1" applyFill="1" applyBorder="1" applyAlignment="1">
      <alignment horizontal="center"/>
    </xf>
    <xf numFmtId="0" fontId="0" fillId="37" borderId="32" xfId="0" applyFont="1" applyFill="1" applyBorder="1" applyAlignment="1">
      <alignment/>
    </xf>
    <xf numFmtId="297" fontId="0" fillId="37" borderId="32" xfId="48" applyNumberFormat="1" applyFont="1" applyFill="1" applyBorder="1" applyAlignment="1">
      <alignment/>
    </xf>
    <xf numFmtId="57" fontId="0" fillId="37" borderId="32" xfId="0" applyNumberFormat="1" applyFont="1" applyFill="1" applyBorder="1" applyAlignment="1">
      <alignment/>
    </xf>
    <xf numFmtId="38" fontId="0" fillId="37" borderId="32" xfId="48" applyFont="1" applyFill="1" applyBorder="1" applyAlignment="1">
      <alignment/>
    </xf>
    <xf numFmtId="284" fontId="0" fillId="37" borderId="13" xfId="0" applyNumberFormat="1" applyFont="1" applyFill="1" applyBorder="1" applyAlignment="1">
      <alignment/>
    </xf>
    <xf numFmtId="284" fontId="0" fillId="37" borderId="32" xfId="0" applyNumberFormat="1" applyFont="1" applyFill="1" applyBorder="1" applyAlignment="1">
      <alignment/>
    </xf>
    <xf numFmtId="232" fontId="0" fillId="37" borderId="32" xfId="0" applyNumberFormat="1" applyFont="1" applyFill="1" applyBorder="1" applyAlignment="1" applyProtection="1">
      <alignment/>
      <protection locked="0"/>
    </xf>
    <xf numFmtId="0" fontId="0" fillId="37" borderId="32" xfId="0" applyFont="1" applyFill="1" applyBorder="1" applyAlignment="1">
      <alignment horizontal="left"/>
    </xf>
    <xf numFmtId="318" fontId="0" fillId="37" borderId="32" xfId="0" applyNumberFormat="1" applyFont="1" applyFill="1" applyBorder="1" applyAlignment="1" applyProtection="1">
      <alignment horizontal="center"/>
      <protection locked="0"/>
    </xf>
    <xf numFmtId="297" fontId="0" fillId="37" borderId="32" xfId="0" applyNumberFormat="1" applyFont="1" applyFill="1" applyBorder="1" applyAlignment="1">
      <alignment/>
    </xf>
    <xf numFmtId="0" fontId="0" fillId="37" borderId="32" xfId="0" applyNumberFormat="1" applyFont="1" applyFill="1" applyBorder="1" applyAlignment="1" applyProtection="1">
      <alignment horizontal="center"/>
      <protection locked="0"/>
    </xf>
    <xf numFmtId="233" fontId="0" fillId="37" borderId="32" xfId="0" applyNumberFormat="1" applyFont="1" applyFill="1" applyBorder="1" applyAlignment="1">
      <alignment/>
    </xf>
    <xf numFmtId="233" fontId="0" fillId="37" borderId="32" xfId="0" applyNumberFormat="1" applyFont="1" applyFill="1" applyBorder="1" applyAlignment="1">
      <alignment/>
    </xf>
    <xf numFmtId="0" fontId="0" fillId="37" borderId="13" xfId="0" applyFont="1" applyFill="1" applyBorder="1" applyAlignment="1">
      <alignment/>
    </xf>
    <xf numFmtId="0" fontId="0" fillId="0" borderId="13" xfId="0" applyFont="1" applyBorder="1" applyAlignment="1">
      <alignment horizontal="center"/>
    </xf>
    <xf numFmtId="0" fontId="0" fillId="0" borderId="13" xfId="0" applyFont="1" applyBorder="1" applyAlignment="1">
      <alignment/>
    </xf>
    <xf numFmtId="57" fontId="0" fillId="0" borderId="13" xfId="0" applyNumberFormat="1" applyFont="1" applyBorder="1" applyAlignment="1">
      <alignment/>
    </xf>
    <xf numFmtId="38" fontId="0" fillId="0" borderId="13" xfId="48" applyFont="1" applyBorder="1" applyAlignment="1">
      <alignment/>
    </xf>
    <xf numFmtId="297" fontId="0" fillId="0" borderId="13" xfId="0" applyNumberFormat="1" applyFont="1" applyBorder="1" applyAlignment="1" applyProtection="1">
      <alignment/>
      <protection locked="0"/>
    </xf>
    <xf numFmtId="3" fontId="0" fillId="0" borderId="13" xfId="0" applyNumberFormat="1" applyFont="1" applyBorder="1" applyAlignment="1" applyProtection="1">
      <alignment/>
      <protection locked="0"/>
    </xf>
    <xf numFmtId="284" fontId="0" fillId="0" borderId="13" xfId="0" applyNumberFormat="1" applyFont="1" applyBorder="1" applyAlignment="1" applyProtection="1">
      <alignment/>
      <protection locked="0"/>
    </xf>
    <xf numFmtId="233" fontId="0" fillId="0" borderId="13" xfId="0" applyNumberFormat="1" applyFont="1" applyBorder="1" applyAlignment="1" applyProtection="1">
      <alignment/>
      <protection locked="0"/>
    </xf>
    <xf numFmtId="0" fontId="0" fillId="43" borderId="13" xfId="0" applyFont="1" applyFill="1" applyBorder="1" applyAlignment="1" applyProtection="1">
      <alignment/>
      <protection locked="0"/>
    </xf>
    <xf numFmtId="0" fontId="0" fillId="0" borderId="13" xfId="0" applyFont="1" applyBorder="1" applyAlignment="1" applyProtection="1">
      <alignment horizontal="left"/>
      <protection locked="0"/>
    </xf>
    <xf numFmtId="0" fontId="0" fillId="0" borderId="0" xfId="0" applyNumberFormat="1" applyFont="1" applyAlignment="1">
      <alignment horizontal="left"/>
    </xf>
    <xf numFmtId="318" fontId="0" fillId="0" borderId="0" xfId="0" applyNumberFormat="1" applyFont="1" applyAlignment="1">
      <alignment horizontal="center"/>
    </xf>
    <xf numFmtId="308" fontId="0" fillId="0" borderId="0" xfId="48" applyNumberFormat="1" applyFont="1" applyAlignment="1">
      <alignment/>
    </xf>
    <xf numFmtId="0" fontId="0" fillId="33" borderId="13" xfId="0" applyNumberFormat="1" applyFont="1" applyFill="1" applyBorder="1" applyAlignment="1">
      <alignment/>
    </xf>
    <xf numFmtId="0" fontId="0" fillId="0" borderId="13" xfId="0" applyNumberFormat="1" applyFont="1" applyBorder="1" applyAlignment="1" applyProtection="1">
      <alignment/>
      <protection locked="0"/>
    </xf>
    <xf numFmtId="0" fontId="0" fillId="0" borderId="13" xfId="0" applyNumberFormat="1" applyFont="1" applyBorder="1" applyAlignment="1" applyProtection="1">
      <alignment horizontal="left"/>
      <protection locked="0"/>
    </xf>
    <xf numFmtId="0" fontId="0" fillId="0" borderId="0" xfId="0" applyNumberFormat="1" applyFont="1" applyBorder="1" applyAlignment="1">
      <alignment/>
    </xf>
    <xf numFmtId="0" fontId="0" fillId="0" borderId="0" xfId="0" applyNumberFormat="1" applyFont="1" applyBorder="1" applyAlignment="1">
      <alignment horizontal="center"/>
    </xf>
    <xf numFmtId="0" fontId="0" fillId="0" borderId="0" xfId="0" applyNumberFormat="1" applyFont="1" applyAlignment="1">
      <alignment/>
    </xf>
    <xf numFmtId="0" fontId="0" fillId="0" borderId="0" xfId="0" applyNumberFormat="1" applyFont="1" applyAlignment="1">
      <alignment horizontal="center"/>
    </xf>
    <xf numFmtId="57" fontId="0" fillId="0" borderId="0" xfId="0" applyNumberFormat="1" applyFont="1" applyAlignment="1">
      <alignment/>
    </xf>
    <xf numFmtId="38" fontId="0" fillId="0" borderId="0" xfId="48" applyFont="1" applyAlignment="1">
      <alignment/>
    </xf>
    <xf numFmtId="308" fontId="0" fillId="0" borderId="0" xfId="48" applyNumberFormat="1" applyFont="1" applyAlignment="1">
      <alignment/>
    </xf>
    <xf numFmtId="0" fontId="0" fillId="0" borderId="0" xfId="0" applyNumberFormat="1" applyFont="1" applyAlignment="1">
      <alignment horizontal="left"/>
    </xf>
    <xf numFmtId="318" fontId="0" fillId="0" borderId="0" xfId="0" applyNumberFormat="1" applyFont="1" applyAlignment="1">
      <alignment horizontal="center"/>
    </xf>
    <xf numFmtId="0" fontId="0" fillId="33" borderId="13" xfId="0" applyNumberFormat="1" applyFont="1" applyFill="1" applyBorder="1" applyAlignment="1">
      <alignment/>
    </xf>
    <xf numFmtId="0" fontId="0" fillId="33" borderId="13" xfId="0" applyNumberFormat="1" applyFont="1" applyFill="1" applyBorder="1" applyAlignment="1">
      <alignment horizontal="center"/>
    </xf>
    <xf numFmtId="284" fontId="0" fillId="33" borderId="13" xfId="0" applyNumberFormat="1" applyFont="1" applyFill="1" applyBorder="1" applyAlignment="1">
      <alignment/>
    </xf>
    <xf numFmtId="284" fontId="0" fillId="33" borderId="13" xfId="0" applyNumberFormat="1" applyFont="1" applyFill="1" applyBorder="1" applyAlignment="1">
      <alignment horizontal="right"/>
    </xf>
    <xf numFmtId="0" fontId="40" fillId="0" borderId="0" xfId="0" applyFont="1" applyFill="1" applyAlignment="1">
      <alignment/>
    </xf>
    <xf numFmtId="0" fontId="40" fillId="0" borderId="0" xfId="0" applyFont="1" applyAlignment="1">
      <alignment/>
    </xf>
    <xf numFmtId="0" fontId="40" fillId="0" borderId="0" xfId="0" applyFont="1" applyAlignment="1" applyProtection="1">
      <alignment/>
      <protection locked="0"/>
    </xf>
    <xf numFmtId="0" fontId="41" fillId="0" borderId="0" xfId="0" applyFont="1" applyAlignment="1">
      <alignment/>
    </xf>
    <xf numFmtId="0" fontId="18" fillId="0" borderId="0" xfId="0" applyFont="1" applyFill="1" applyAlignment="1">
      <alignment/>
    </xf>
    <xf numFmtId="0" fontId="18" fillId="0" borderId="0" xfId="0" applyFont="1" applyFill="1" applyAlignment="1">
      <alignment/>
    </xf>
    <xf numFmtId="0" fontId="18" fillId="0" borderId="0" xfId="0" applyNumberFormat="1" applyFont="1" applyFill="1" applyAlignment="1">
      <alignment horizontal="center"/>
    </xf>
    <xf numFmtId="0" fontId="42" fillId="0" borderId="0" xfId="0" applyFont="1" applyFill="1" applyAlignment="1">
      <alignment/>
    </xf>
    <xf numFmtId="0" fontId="18" fillId="0" borderId="85" xfId="0" applyFont="1" applyFill="1" applyBorder="1" applyAlignment="1">
      <alignment horizontal="centerContinuous"/>
    </xf>
    <xf numFmtId="0" fontId="18" fillId="0" borderId="157" xfId="0" applyFont="1" applyFill="1" applyBorder="1" applyAlignment="1">
      <alignment horizontal="centerContinuous"/>
    </xf>
    <xf numFmtId="0" fontId="18" fillId="0" borderId="149" xfId="0" applyFont="1" applyFill="1" applyBorder="1" applyAlignment="1">
      <alignment horizontal="centerContinuous"/>
    </xf>
    <xf numFmtId="0" fontId="18" fillId="0" borderId="176" xfId="0" applyFont="1" applyBorder="1" applyAlignment="1">
      <alignment horizontal="centerContinuous"/>
    </xf>
    <xf numFmtId="0" fontId="18" fillId="0" borderId="34" xfId="0" applyFont="1" applyBorder="1" applyAlignment="1">
      <alignment horizontal="centerContinuous"/>
    </xf>
    <xf numFmtId="0" fontId="18" fillId="0" borderId="0" xfId="0" applyFont="1" applyAlignment="1">
      <alignment/>
    </xf>
    <xf numFmtId="0" fontId="18" fillId="0" borderId="177" xfId="0" applyFont="1" applyBorder="1" applyAlignment="1">
      <alignment horizontal="centerContinuous"/>
    </xf>
    <xf numFmtId="0" fontId="18" fillId="0" borderId="178" xfId="0" applyFont="1" applyBorder="1" applyAlignment="1">
      <alignment horizontal="centerContinuous"/>
    </xf>
    <xf numFmtId="0" fontId="18" fillId="0" borderId="179" xfId="0" applyFont="1" applyBorder="1" applyAlignment="1">
      <alignment horizontal="center"/>
    </xf>
    <xf numFmtId="0" fontId="18" fillId="0" borderId="180" xfId="0" applyFont="1" applyBorder="1" applyAlignment="1">
      <alignment horizontal="centerContinuous"/>
    </xf>
    <xf numFmtId="0" fontId="18" fillId="0" borderId="39" xfId="0" applyFont="1" applyBorder="1" applyAlignment="1">
      <alignment horizontal="centerContinuous"/>
    </xf>
    <xf numFmtId="0" fontId="18" fillId="0" borderId="181" xfId="0" applyFont="1" applyBorder="1" applyAlignment="1">
      <alignment horizontal="centerContinuous"/>
    </xf>
    <xf numFmtId="0" fontId="18" fillId="0" borderId="181" xfId="0" applyFont="1" applyBorder="1" applyAlignment="1">
      <alignment horizontal="center"/>
    </xf>
    <xf numFmtId="283" fontId="18" fillId="0" borderId="181" xfId="0" applyNumberFormat="1" applyFont="1" applyBorder="1" applyAlignment="1">
      <alignment horizontal="centerContinuous"/>
    </xf>
    <xf numFmtId="0" fontId="18" fillId="0" borderId="40" xfId="0" applyFont="1" applyBorder="1" applyAlignment="1">
      <alignment horizontal="centerContinuous"/>
    </xf>
    <xf numFmtId="0" fontId="18" fillId="0" borderId="182" xfId="0" applyFont="1" applyBorder="1" applyAlignment="1">
      <alignment horizontal="center"/>
    </xf>
    <xf numFmtId="57" fontId="18" fillId="0" borderId="0" xfId="0" applyNumberFormat="1" applyFont="1" applyBorder="1" applyAlignment="1">
      <alignment horizontal="center"/>
    </xf>
    <xf numFmtId="0" fontId="18" fillId="0" borderId="183" xfId="0" applyFont="1" applyBorder="1" applyAlignment="1">
      <alignment horizontal="centerContinuous"/>
    </xf>
    <xf numFmtId="0" fontId="18" fillId="0" borderId="173" xfId="0" applyFont="1" applyBorder="1" applyAlignment="1">
      <alignment horizontal="centerContinuous"/>
    </xf>
    <xf numFmtId="58" fontId="18" fillId="0" borderId="169" xfId="0" applyNumberFormat="1" applyFont="1" applyBorder="1" applyAlignment="1">
      <alignment horizontal="centerContinuous"/>
    </xf>
    <xf numFmtId="58" fontId="18" fillId="0" borderId="173" xfId="0" applyNumberFormat="1" applyFont="1" applyBorder="1" applyAlignment="1">
      <alignment horizontal="centerContinuous"/>
    </xf>
    <xf numFmtId="0" fontId="18" fillId="0" borderId="169" xfId="0" applyFont="1" applyBorder="1" applyAlignment="1">
      <alignment horizontal="center"/>
    </xf>
    <xf numFmtId="0" fontId="18" fillId="0" borderId="172" xfId="0" applyFont="1" applyBorder="1" applyAlignment="1">
      <alignment/>
    </xf>
    <xf numFmtId="326" fontId="18" fillId="0" borderId="0" xfId="0" applyNumberFormat="1" applyFont="1" applyBorder="1" applyAlignment="1">
      <alignment horizontal="center"/>
    </xf>
    <xf numFmtId="0" fontId="18" fillId="0" borderId="0" xfId="0" applyFont="1" applyBorder="1" applyAlignment="1">
      <alignment horizontal="center"/>
    </xf>
    <xf numFmtId="58" fontId="18" fillId="0" borderId="0" xfId="0" applyNumberFormat="1" applyFont="1" applyBorder="1" applyAlignment="1">
      <alignment horizontal="centerContinuous"/>
    </xf>
    <xf numFmtId="0" fontId="18" fillId="0" borderId="104" xfId="0" applyFont="1" applyBorder="1" applyAlignment="1">
      <alignment horizontal="centerContinuous"/>
    </xf>
    <xf numFmtId="0" fontId="18" fillId="0" borderId="105" xfId="0" applyFont="1" applyBorder="1" applyAlignment="1">
      <alignment horizontal="centerContinuous"/>
    </xf>
    <xf numFmtId="0" fontId="43" fillId="0" borderId="147" xfId="0" applyFont="1" applyBorder="1" applyAlignment="1">
      <alignment horizontal="centerContinuous"/>
    </xf>
    <xf numFmtId="0" fontId="18" fillId="0" borderId="142" xfId="0" applyFont="1" applyBorder="1" applyAlignment="1">
      <alignment horizontal="centerContinuous"/>
    </xf>
    <xf numFmtId="0" fontId="18" fillId="0" borderId="177" xfId="0" applyFont="1" applyBorder="1" applyAlignment="1">
      <alignment horizontal="center"/>
    </xf>
    <xf numFmtId="0" fontId="18" fillId="0" borderId="18" xfId="0" applyFont="1" applyBorder="1" applyAlignment="1">
      <alignment horizontal="centerContinuous"/>
    </xf>
    <xf numFmtId="0" fontId="18" fillId="0" borderId="184" xfId="0" applyFont="1" applyBorder="1" applyAlignment="1">
      <alignment horizontal="centerContinuous"/>
    </xf>
    <xf numFmtId="0" fontId="18" fillId="0" borderId="0" xfId="0" applyFont="1" applyAlignment="1">
      <alignment horizontal="left"/>
    </xf>
    <xf numFmtId="0" fontId="18" fillId="0" borderId="0" xfId="0" applyFont="1" applyBorder="1" applyAlignment="1">
      <alignment horizontal="centerContinuous"/>
    </xf>
    <xf numFmtId="58" fontId="43" fillId="0" borderId="0" xfId="0" applyNumberFormat="1" applyFont="1" applyBorder="1" applyAlignment="1">
      <alignment horizontal="centerContinuous"/>
    </xf>
    <xf numFmtId="58" fontId="18" fillId="0" borderId="0" xfId="0" applyNumberFormat="1" applyFont="1" applyBorder="1" applyAlignment="1">
      <alignment horizontal="left"/>
    </xf>
    <xf numFmtId="0" fontId="18" fillId="0" borderId="0" xfId="0" applyFont="1" applyBorder="1" applyAlignment="1">
      <alignment horizontal="left"/>
    </xf>
    <xf numFmtId="215" fontId="18" fillId="0" borderId="0" xfId="0" applyNumberFormat="1" applyFont="1" applyBorder="1" applyAlignment="1">
      <alignment horizontal="center"/>
    </xf>
    <xf numFmtId="0" fontId="18" fillId="0" borderId="185" xfId="0" applyFont="1" applyBorder="1" applyAlignment="1">
      <alignment horizontal="center"/>
    </xf>
    <xf numFmtId="215" fontId="18" fillId="0" borderId="127" xfId="0" applyNumberFormat="1" applyFont="1" applyBorder="1" applyAlignment="1">
      <alignment horizontal="center"/>
    </xf>
    <xf numFmtId="219" fontId="18" fillId="0" borderId="33" xfId="0" applyNumberFormat="1" applyFont="1" applyBorder="1" applyAlignment="1">
      <alignment horizontal="center"/>
    </xf>
    <xf numFmtId="219" fontId="18" fillId="0" borderId="30" xfId="0" applyNumberFormat="1" applyFont="1" applyBorder="1" applyAlignment="1">
      <alignment horizontal="center"/>
    </xf>
    <xf numFmtId="219" fontId="18" fillId="0" borderId="186" xfId="0" applyNumberFormat="1" applyFont="1" applyBorder="1" applyAlignment="1">
      <alignment horizontal="center"/>
    </xf>
    <xf numFmtId="0" fontId="18" fillId="0" borderId="39" xfId="0" applyFont="1" applyBorder="1" applyAlignment="1">
      <alignment horizontal="center"/>
    </xf>
    <xf numFmtId="0" fontId="18" fillId="0" borderId="187" xfId="0" applyFont="1" applyBorder="1" applyAlignment="1">
      <alignment horizontal="center"/>
    </xf>
    <xf numFmtId="0" fontId="18" fillId="0" borderId="21" xfId="0" applyFont="1" applyBorder="1" applyAlignment="1">
      <alignment horizontal="centerContinuous"/>
    </xf>
    <xf numFmtId="0" fontId="18" fillId="0" borderId="22" xfId="0" applyFont="1" applyBorder="1" applyAlignment="1">
      <alignment horizontal="centerContinuous"/>
    </xf>
    <xf numFmtId="0" fontId="18" fillId="0" borderId="23" xfId="0" applyFont="1" applyBorder="1" applyAlignment="1">
      <alignment horizontal="centerContinuous"/>
    </xf>
    <xf numFmtId="0" fontId="18" fillId="0" borderId="141" xfId="0" applyFont="1" applyBorder="1" applyAlignment="1">
      <alignment horizontal="center"/>
    </xf>
    <xf numFmtId="0" fontId="18" fillId="0" borderId="152" xfId="0" applyFont="1" applyBorder="1" applyAlignment="1">
      <alignment horizontal="centerContinuous"/>
    </xf>
    <xf numFmtId="0" fontId="18" fillId="0" borderId="144" xfId="0" applyFont="1" applyBorder="1" applyAlignment="1">
      <alignment horizontal="centerContinuous"/>
    </xf>
    <xf numFmtId="0" fontId="18" fillId="0" borderId="62" xfId="0" applyFont="1" applyBorder="1" applyAlignment="1">
      <alignment horizontal="centerContinuous"/>
    </xf>
    <xf numFmtId="0" fontId="18" fillId="0" borderId="188" xfId="0" applyFont="1" applyBorder="1" applyAlignment="1">
      <alignment horizontal="center"/>
    </xf>
    <xf numFmtId="0" fontId="18" fillId="0" borderId="189" xfId="0" applyFont="1" applyBorder="1" applyAlignment="1">
      <alignment horizontal="centerContinuous"/>
    </xf>
    <xf numFmtId="0" fontId="18" fillId="0" borderId="65" xfId="0" applyFont="1" applyBorder="1" applyAlignment="1">
      <alignment horizontal="centerContinuous"/>
    </xf>
    <xf numFmtId="0" fontId="18" fillId="0" borderId="190" xfId="0" applyFont="1" applyBorder="1" applyAlignment="1">
      <alignment horizontal="center"/>
    </xf>
    <xf numFmtId="0" fontId="18" fillId="0" borderId="149" xfId="0" applyFont="1" applyBorder="1" applyAlignment="1">
      <alignment horizontal="left"/>
    </xf>
    <xf numFmtId="0" fontId="18" fillId="0" borderId="157" xfId="0" applyFont="1" applyBorder="1" applyAlignment="1">
      <alignment horizontal="centerContinuous"/>
    </xf>
    <xf numFmtId="0" fontId="18" fillId="0" borderId="34" xfId="0" applyFont="1" applyBorder="1" applyAlignment="1">
      <alignment/>
    </xf>
    <xf numFmtId="57" fontId="18" fillId="0" borderId="143" xfId="0" applyNumberFormat="1" applyFont="1" applyBorder="1" applyAlignment="1">
      <alignment horizontal="centerContinuous"/>
    </xf>
    <xf numFmtId="3" fontId="18" fillId="0" borderId="188" xfId="0" applyNumberFormat="1" applyFont="1" applyBorder="1" applyAlignment="1">
      <alignment horizontal="center"/>
    </xf>
    <xf numFmtId="0" fontId="0" fillId="33" borderId="191" xfId="0" applyFont="1" applyFill="1" applyBorder="1" applyAlignment="1">
      <alignment horizontal="center"/>
    </xf>
    <xf numFmtId="0" fontId="18" fillId="0" borderId="182" xfId="0" applyFont="1" applyBorder="1" applyAlignment="1">
      <alignment/>
    </xf>
    <xf numFmtId="0" fontId="18" fillId="0" borderId="0" xfId="0" applyFont="1" applyBorder="1" applyAlignment="1">
      <alignment/>
    </xf>
    <xf numFmtId="0" fontId="18" fillId="0" borderId="162" xfId="0" applyFont="1" applyBorder="1" applyAlignment="1">
      <alignment/>
    </xf>
    <xf numFmtId="0" fontId="18" fillId="0" borderId="159" xfId="0" applyFont="1" applyBorder="1" applyAlignment="1">
      <alignment horizontal="center"/>
    </xf>
    <xf numFmtId="0" fontId="18" fillId="0" borderId="67" xfId="0" applyFont="1" applyBorder="1" applyAlignment="1">
      <alignment horizontal="left"/>
    </xf>
    <xf numFmtId="326" fontId="18" fillId="0" borderId="166" xfId="0" applyNumberFormat="1" applyFont="1" applyBorder="1" applyAlignment="1">
      <alignment horizontal="centerContinuous"/>
    </xf>
    <xf numFmtId="0" fontId="18" fillId="0" borderId="167" xfId="0" applyFont="1" applyBorder="1" applyAlignment="1">
      <alignment horizontal="center"/>
    </xf>
    <xf numFmtId="0" fontId="18" fillId="0" borderId="169" xfId="0" applyFont="1" applyBorder="1" applyAlignment="1">
      <alignment horizontal="left"/>
    </xf>
    <xf numFmtId="0" fontId="18" fillId="0" borderId="173" xfId="0" applyFont="1" applyBorder="1" applyAlignment="1">
      <alignment/>
    </xf>
    <xf numFmtId="0" fontId="18" fillId="0" borderId="172" xfId="0" applyFont="1" applyBorder="1" applyAlignment="1">
      <alignment horizontal="centerContinuous"/>
    </xf>
    <xf numFmtId="0" fontId="18" fillId="0" borderId="188" xfId="0" applyFont="1" applyBorder="1" applyAlignment="1">
      <alignment horizontal="centerContinuous"/>
    </xf>
    <xf numFmtId="0" fontId="18" fillId="0" borderId="72" xfId="0" applyFont="1" applyBorder="1" applyAlignment="1">
      <alignment horizontal="centerContinuous"/>
    </xf>
    <xf numFmtId="0" fontId="18" fillId="0" borderId="92" xfId="0" applyFont="1" applyBorder="1" applyAlignment="1">
      <alignment horizontal="centerContinuous"/>
    </xf>
    <xf numFmtId="0" fontId="18" fillId="0" borderId="93" xfId="0" applyFont="1" applyBorder="1" applyAlignment="1">
      <alignment horizontal="centerContinuous"/>
    </xf>
    <xf numFmtId="0" fontId="18" fillId="0" borderId="101" xfId="0" applyFont="1" applyBorder="1" applyAlignment="1">
      <alignment horizontal="centerContinuous"/>
    </xf>
    <xf numFmtId="3" fontId="18" fillId="0" borderId="192" xfId="0" applyNumberFormat="1" applyFont="1" applyBorder="1" applyAlignment="1">
      <alignment horizontal="center"/>
    </xf>
    <xf numFmtId="0" fontId="43" fillId="0" borderId="0" xfId="0" applyFont="1" applyBorder="1" applyAlignment="1">
      <alignment/>
    </xf>
    <xf numFmtId="3" fontId="43" fillId="0" borderId="0" xfId="0" applyNumberFormat="1" applyFont="1" applyBorder="1" applyAlignment="1">
      <alignment horizontal="centerContinuous"/>
    </xf>
    <xf numFmtId="0" fontId="43" fillId="0" borderId="0" xfId="0" applyFont="1" applyAlignment="1">
      <alignment horizontal="centerContinuous"/>
    </xf>
    <xf numFmtId="215" fontId="18" fillId="0" borderId="0" xfId="0" applyNumberFormat="1" applyFont="1" applyBorder="1" applyAlignment="1">
      <alignment/>
    </xf>
    <xf numFmtId="208" fontId="18" fillId="0" borderId="0" xfId="0" applyNumberFormat="1" applyFont="1" applyBorder="1" applyAlignment="1">
      <alignment horizontal="right"/>
    </xf>
    <xf numFmtId="0" fontId="43" fillId="0" borderId="0" xfId="0" applyFont="1" applyBorder="1" applyAlignment="1">
      <alignment/>
    </xf>
    <xf numFmtId="0" fontId="18" fillId="0" borderId="180" xfId="0" applyFont="1" applyBorder="1" applyAlignment="1">
      <alignment horizontal="center"/>
    </xf>
    <xf numFmtId="0" fontId="18" fillId="0" borderId="38" xfId="0" applyFont="1" applyBorder="1" applyAlignment="1">
      <alignment horizontal="centerContinuous"/>
    </xf>
    <xf numFmtId="57" fontId="18" fillId="0" borderId="38" xfId="0" applyNumberFormat="1" applyFont="1" applyBorder="1" applyAlignment="1">
      <alignment horizontal="center"/>
    </xf>
    <xf numFmtId="316" fontId="18" fillId="0" borderId="39" xfId="0" applyNumberFormat="1" applyFont="1" applyBorder="1" applyAlignment="1">
      <alignment horizontal="centerContinuous"/>
    </xf>
    <xf numFmtId="58" fontId="18" fillId="0" borderId="39" xfId="0" applyNumberFormat="1" applyFont="1" applyBorder="1" applyAlignment="1">
      <alignment horizontal="centerContinuous"/>
    </xf>
    <xf numFmtId="218" fontId="18" fillId="0" borderId="39" xfId="0" applyNumberFormat="1" applyFont="1" applyBorder="1" applyAlignment="1">
      <alignment horizontal="centerContinuous"/>
    </xf>
    <xf numFmtId="0" fontId="18" fillId="0" borderId="0" xfId="0" applyFont="1" applyAlignment="1">
      <alignment/>
    </xf>
    <xf numFmtId="0" fontId="43" fillId="0" borderId="0" xfId="0" applyFont="1" applyAlignment="1">
      <alignment/>
    </xf>
    <xf numFmtId="3" fontId="18" fillId="0" borderId="0" xfId="0" applyNumberFormat="1" applyFont="1" applyFill="1" applyBorder="1" applyAlignment="1" applyProtection="1">
      <alignment horizontal="left"/>
      <protection/>
    </xf>
    <xf numFmtId="0" fontId="18" fillId="0" borderId="0" xfId="0" applyFont="1" applyAlignment="1">
      <alignment horizontal="centerContinuous"/>
    </xf>
    <xf numFmtId="0" fontId="18" fillId="0" borderId="90" xfId="0" applyFont="1" applyBorder="1" applyAlignment="1">
      <alignment horizontal="center"/>
    </xf>
    <xf numFmtId="0" fontId="18" fillId="0" borderId="55" xfId="0" applyFont="1" applyBorder="1" applyAlignment="1">
      <alignment horizontal="centerContinuous"/>
    </xf>
    <xf numFmtId="0" fontId="18" fillId="0" borderId="193" xfId="0" applyFont="1" applyBorder="1" applyAlignment="1">
      <alignment horizontal="centerContinuous"/>
    </xf>
    <xf numFmtId="0" fontId="18" fillId="0" borderId="55" xfId="0" applyFont="1" applyBorder="1" applyAlignment="1">
      <alignment/>
    </xf>
    <xf numFmtId="0" fontId="18" fillId="0" borderId="193" xfId="0" applyFont="1" applyBorder="1" applyAlignment="1">
      <alignment/>
    </xf>
    <xf numFmtId="0" fontId="18" fillId="0" borderId="158" xfId="0" applyFont="1" applyBorder="1" applyAlignment="1">
      <alignment/>
    </xf>
    <xf numFmtId="0" fontId="42" fillId="0" borderId="0" xfId="0" applyFont="1" applyAlignment="1">
      <alignment/>
    </xf>
    <xf numFmtId="0" fontId="18" fillId="0" borderId="85" xfId="0" applyFont="1" applyBorder="1" applyAlignment="1">
      <alignment horizontal="center" vertical="center"/>
    </xf>
    <xf numFmtId="0" fontId="18" fillId="0" borderId="86" xfId="0" applyFont="1" applyBorder="1" applyAlignment="1">
      <alignment horizontal="center" vertical="center"/>
    </xf>
    <xf numFmtId="0" fontId="18" fillId="0" borderId="157" xfId="0" applyFont="1" applyBorder="1" applyAlignment="1">
      <alignment horizontal="center" vertical="center"/>
    </xf>
    <xf numFmtId="0" fontId="18" fillId="0" borderId="87" xfId="0" applyFont="1" applyBorder="1" applyAlignment="1">
      <alignment horizontal="center" vertical="center"/>
    </xf>
    <xf numFmtId="0" fontId="18" fillId="0" borderId="90" xfId="0" applyFont="1" applyBorder="1" applyAlignment="1">
      <alignment/>
    </xf>
    <xf numFmtId="5" fontId="18" fillId="0" borderId="55" xfId="0" applyNumberFormat="1" applyFont="1" applyBorder="1" applyAlignment="1">
      <alignment horizontal="centerContinuous"/>
    </xf>
    <xf numFmtId="179" fontId="18" fillId="0" borderId="55" xfId="0" applyNumberFormat="1" applyFont="1" applyBorder="1" applyAlignment="1">
      <alignment horizontal="centerContinuous"/>
    </xf>
    <xf numFmtId="5" fontId="18" fillId="0" borderId="194" xfId="0" applyNumberFormat="1" applyFont="1" applyBorder="1" applyAlignment="1">
      <alignment horizontal="centerContinuous"/>
    </xf>
    <xf numFmtId="179" fontId="18" fillId="0" borderId="194" xfId="0" applyNumberFormat="1" applyFont="1" applyBorder="1" applyAlignment="1">
      <alignment horizontal="centerContinuous"/>
    </xf>
    <xf numFmtId="0" fontId="42" fillId="0" borderId="0" xfId="0" applyFont="1" applyAlignment="1" applyProtection="1">
      <alignment/>
      <protection locked="0"/>
    </xf>
    <xf numFmtId="0" fontId="18" fillId="0" borderId="47" xfId="0" applyFont="1" applyBorder="1" applyAlignment="1">
      <alignment/>
    </xf>
    <xf numFmtId="5" fontId="18" fillId="0" borderId="49" xfId="0" applyNumberFormat="1" applyFont="1" applyBorder="1" applyAlignment="1">
      <alignment horizontal="center"/>
    </xf>
    <xf numFmtId="179" fontId="18" fillId="0" borderId="49" xfId="0" applyNumberFormat="1" applyFont="1" applyBorder="1" applyAlignment="1">
      <alignment horizontal="center"/>
    </xf>
    <xf numFmtId="0" fontId="18" fillId="0" borderId="166" xfId="0" applyFont="1" applyBorder="1" applyAlignment="1">
      <alignment/>
    </xf>
    <xf numFmtId="0" fontId="18" fillId="0" borderId="47" xfId="0" applyFont="1" applyBorder="1" applyAlignment="1">
      <alignment horizontal="center"/>
    </xf>
    <xf numFmtId="57" fontId="18" fillId="0" borderId="55" xfId="0" applyNumberFormat="1" applyFont="1" applyBorder="1" applyAlignment="1">
      <alignment horizontal="center"/>
    </xf>
    <xf numFmtId="316" fontId="18" fillId="0" borderId="193" xfId="0" applyNumberFormat="1" applyFont="1" applyBorder="1" applyAlignment="1">
      <alignment horizontal="centerContinuous"/>
    </xf>
    <xf numFmtId="58" fontId="18" fillId="0" borderId="193" xfId="0" applyNumberFormat="1" applyFont="1" applyBorder="1" applyAlignment="1">
      <alignment horizontal="centerContinuous"/>
    </xf>
    <xf numFmtId="0" fontId="18" fillId="0" borderId="193" xfId="0" applyFont="1" applyBorder="1" applyAlignment="1">
      <alignment horizontal="center"/>
    </xf>
    <xf numFmtId="218" fontId="18" fillId="0" borderId="193" xfId="0" applyNumberFormat="1" applyFont="1" applyBorder="1" applyAlignment="1">
      <alignment horizontal="centerContinuous"/>
    </xf>
    <xf numFmtId="0" fontId="18" fillId="0" borderId="158" xfId="0" applyFont="1" applyBorder="1" applyAlignment="1">
      <alignment horizontal="centerContinuous"/>
    </xf>
    <xf numFmtId="0" fontId="18" fillId="0" borderId="183" xfId="0" applyFont="1" applyBorder="1" applyAlignment="1">
      <alignment horizontal="center"/>
    </xf>
    <xf numFmtId="0" fontId="18" fillId="0" borderId="104" xfId="0" applyFont="1" applyBorder="1" applyAlignment="1">
      <alignment vertical="center"/>
    </xf>
    <xf numFmtId="0" fontId="43" fillId="0" borderId="105" xfId="0" applyFont="1" applyBorder="1" applyAlignment="1">
      <alignment horizontal="center"/>
    </xf>
    <xf numFmtId="207" fontId="43" fillId="0" borderId="105" xfId="0" applyNumberFormat="1" applyFont="1" applyBorder="1" applyAlignment="1">
      <alignment horizontal="centerContinuous"/>
    </xf>
    <xf numFmtId="0" fontId="43" fillId="0" borderId="105" xfId="0" applyFont="1" applyBorder="1" applyAlignment="1">
      <alignment horizontal="centerContinuous"/>
    </xf>
    <xf numFmtId="0" fontId="18" fillId="0" borderId="105" xfId="0" applyFont="1" applyBorder="1" applyAlignment="1">
      <alignment/>
    </xf>
    <xf numFmtId="215" fontId="18" fillId="0" borderId="105" xfId="0" applyNumberFormat="1" applyFont="1" applyBorder="1" applyAlignment="1">
      <alignment/>
    </xf>
    <xf numFmtId="3" fontId="18" fillId="0" borderId="105" xfId="0" applyNumberFormat="1" applyFont="1" applyBorder="1" applyAlignment="1">
      <alignment horizontal="center"/>
    </xf>
    <xf numFmtId="208" fontId="18" fillId="0" borderId="147" xfId="0" applyNumberFormat="1" applyFont="1" applyBorder="1" applyAlignment="1">
      <alignment/>
    </xf>
    <xf numFmtId="0" fontId="18" fillId="0" borderId="181" xfId="0" applyFont="1" applyBorder="1" applyAlignment="1">
      <alignment horizontal="left" indent="1"/>
    </xf>
    <xf numFmtId="207" fontId="43" fillId="0" borderId="39" xfId="0" applyNumberFormat="1" applyFont="1" applyBorder="1" applyAlignment="1">
      <alignment horizontal="centerContinuous"/>
    </xf>
    <xf numFmtId="207" fontId="43" fillId="0" borderId="195" xfId="0" applyNumberFormat="1" applyFont="1" applyBorder="1" applyAlignment="1">
      <alignment horizontal="centerContinuous"/>
    </xf>
    <xf numFmtId="0" fontId="18" fillId="0" borderId="196" xfId="0" applyFont="1" applyBorder="1" applyAlignment="1">
      <alignment horizontal="centerContinuous"/>
    </xf>
    <xf numFmtId="214" fontId="18" fillId="0" borderId="196" xfId="0" applyNumberFormat="1" applyFont="1" applyBorder="1" applyAlignment="1">
      <alignment horizontal="centerContinuous"/>
    </xf>
    <xf numFmtId="310" fontId="18" fillId="0" borderId="197" xfId="48" applyNumberFormat="1" applyFont="1" applyBorder="1" applyAlignment="1">
      <alignment horizontal="right"/>
    </xf>
    <xf numFmtId="0" fontId="18" fillId="0" borderId="61" xfId="0" applyFont="1" applyBorder="1" applyAlignment="1">
      <alignment horizontal="left" indent="1"/>
    </xf>
    <xf numFmtId="207" fontId="43" fillId="0" borderId="43" xfId="0" applyNumberFormat="1" applyFont="1" applyBorder="1" applyAlignment="1">
      <alignment horizontal="centerContinuous"/>
    </xf>
    <xf numFmtId="207" fontId="43" fillId="0" borderId="95" xfId="0" applyNumberFormat="1" applyFont="1" applyBorder="1" applyAlignment="1">
      <alignment horizontal="centerContinuous"/>
    </xf>
    <xf numFmtId="0" fontId="18" fillId="0" borderId="164" xfId="0" applyFont="1" applyBorder="1" applyAlignment="1">
      <alignment horizontal="centerContinuous"/>
    </xf>
    <xf numFmtId="214" fontId="18" fillId="0" borderId="164" xfId="0" applyNumberFormat="1" applyFont="1" applyBorder="1" applyAlignment="1">
      <alignment horizontal="centerContinuous"/>
    </xf>
    <xf numFmtId="310" fontId="18" fillId="0" borderId="98" xfId="48" applyNumberFormat="1" applyFont="1" applyBorder="1" applyAlignment="1">
      <alignment horizontal="right"/>
    </xf>
    <xf numFmtId="4" fontId="18" fillId="0" borderId="61" xfId="0" applyNumberFormat="1" applyFont="1" applyBorder="1" applyAlignment="1">
      <alignment horizontal="left" indent="1"/>
    </xf>
    <xf numFmtId="0" fontId="18" fillId="0" borderId="100" xfId="0" applyFont="1" applyBorder="1" applyAlignment="1">
      <alignment horizontal="left" indent="1"/>
    </xf>
    <xf numFmtId="207" fontId="43" fillId="0" borderId="198" xfId="0" applyNumberFormat="1" applyFont="1" applyBorder="1" applyAlignment="1">
      <alignment horizontal="centerContinuous"/>
    </xf>
    <xf numFmtId="207" fontId="43" fillId="0" borderId="199" xfId="0" applyNumberFormat="1" applyFont="1" applyBorder="1" applyAlignment="1">
      <alignment horizontal="centerContinuous"/>
    </xf>
    <xf numFmtId="0" fontId="18" fillId="0" borderId="200" xfId="0" applyFont="1" applyBorder="1" applyAlignment="1">
      <alignment horizontal="centerContinuous"/>
    </xf>
    <xf numFmtId="214" fontId="18" fillId="0" borderId="200" xfId="0" applyNumberFormat="1" applyFont="1" applyBorder="1" applyAlignment="1">
      <alignment horizontal="centerContinuous"/>
    </xf>
    <xf numFmtId="310" fontId="18" fillId="0" borderId="103" xfId="48" applyNumberFormat="1" applyFont="1" applyBorder="1" applyAlignment="1">
      <alignment horizontal="right"/>
    </xf>
    <xf numFmtId="0" fontId="18" fillId="0" borderId="0" xfId="0" applyFont="1" applyAlignment="1">
      <alignment horizontal="center"/>
    </xf>
    <xf numFmtId="214" fontId="18" fillId="0" borderId="0" xfId="0" applyNumberFormat="1" applyFont="1" applyAlignment="1">
      <alignment/>
    </xf>
    <xf numFmtId="208" fontId="18" fillId="0" borderId="0" xfId="0" applyNumberFormat="1" applyFont="1" applyAlignment="1">
      <alignment/>
    </xf>
    <xf numFmtId="208" fontId="18" fillId="0" borderId="86" xfId="0" applyNumberFormat="1" applyFont="1" applyBorder="1" applyAlignment="1">
      <alignment horizontal="center" vertical="center"/>
    </xf>
    <xf numFmtId="208" fontId="18" fillId="0" borderId="87" xfId="0" applyNumberFormat="1" applyFont="1" applyBorder="1" applyAlignment="1">
      <alignment horizontal="center" vertical="center"/>
    </xf>
    <xf numFmtId="0" fontId="18" fillId="0" borderId="182" xfId="0" applyFont="1" applyBorder="1" applyAlignment="1">
      <alignment horizontal="center" shrinkToFit="1"/>
    </xf>
    <xf numFmtId="0" fontId="18" fillId="0" borderId="0" xfId="0" applyFont="1" applyFill="1" applyBorder="1" applyAlignment="1">
      <alignment horizontal="center"/>
    </xf>
    <xf numFmtId="4" fontId="18" fillId="0" borderId="0" xfId="0" applyNumberFormat="1" applyFont="1" applyFill="1" applyBorder="1" applyAlignment="1">
      <alignment horizontal="center"/>
    </xf>
    <xf numFmtId="214" fontId="18" fillId="0" borderId="47" xfId="0" applyNumberFormat="1" applyFont="1" applyBorder="1" applyAlignment="1">
      <alignment horizontal="center"/>
    </xf>
    <xf numFmtId="214" fontId="18" fillId="0" borderId="183" xfId="0" applyNumberFormat="1" applyFont="1" applyBorder="1" applyAlignment="1">
      <alignment horizontal="center"/>
    </xf>
    <xf numFmtId="0" fontId="18" fillId="0" borderId="182" xfId="0" applyFont="1" applyBorder="1" applyAlignment="1">
      <alignment vertical="center"/>
    </xf>
    <xf numFmtId="0" fontId="18" fillId="0" borderId="0" xfId="0" applyFont="1" applyBorder="1" applyAlignment="1">
      <alignment vertical="center"/>
    </xf>
    <xf numFmtId="0" fontId="43" fillId="0" borderId="0" xfId="0" applyFont="1" applyBorder="1" applyAlignment="1">
      <alignment horizontal="center"/>
    </xf>
    <xf numFmtId="207" fontId="43" fillId="0" borderId="34" xfId="0" applyNumberFormat="1" applyFont="1" applyBorder="1" applyAlignment="1">
      <alignment horizontal="centerContinuous"/>
    </xf>
    <xf numFmtId="0" fontId="43" fillId="0" borderId="0" xfId="0" applyFont="1" applyBorder="1" applyAlignment="1">
      <alignment horizontal="centerContinuous"/>
    </xf>
    <xf numFmtId="215" fontId="18" fillId="0" borderId="162" xfId="0" applyNumberFormat="1" applyFont="1" applyBorder="1" applyAlignment="1">
      <alignment horizontal="right"/>
    </xf>
    <xf numFmtId="0" fontId="18" fillId="0" borderId="17" xfId="0" applyFont="1" applyBorder="1" applyAlignment="1">
      <alignment horizontal="centerContinuous"/>
    </xf>
    <xf numFmtId="0" fontId="18" fillId="0" borderId="13" xfId="0" applyFont="1" applyBorder="1" applyAlignment="1">
      <alignment horizontal="centerContinuous"/>
    </xf>
    <xf numFmtId="0" fontId="18" fillId="0" borderId="13" xfId="0" applyFont="1" applyBorder="1" applyAlignment="1">
      <alignment horizontal="left"/>
    </xf>
    <xf numFmtId="214" fontId="18" fillId="0" borderId="13" xfId="0" applyNumberFormat="1" applyFont="1" applyBorder="1" applyAlignment="1">
      <alignment horizontal="centerContinuous"/>
    </xf>
    <xf numFmtId="310" fontId="18" fillId="0" borderId="19" xfId="0" applyNumberFormat="1" applyFont="1" applyBorder="1" applyAlignment="1">
      <alignment horizontal="right"/>
    </xf>
    <xf numFmtId="0" fontId="18" fillId="0" borderId="183" xfId="0" applyFont="1" applyBorder="1" applyAlignment="1">
      <alignment/>
    </xf>
    <xf numFmtId="5" fontId="18" fillId="0" borderId="201" xfId="0" applyNumberFormat="1" applyFont="1" applyBorder="1" applyAlignment="1">
      <alignment horizontal="centerContinuous"/>
    </xf>
    <xf numFmtId="179" fontId="18" fillId="0" borderId="201" xfId="0" applyNumberFormat="1" applyFont="1" applyBorder="1" applyAlignment="1">
      <alignment horizontal="centerContinuous"/>
    </xf>
    <xf numFmtId="0" fontId="18" fillId="0" borderId="20" xfId="0" applyFont="1" applyBorder="1" applyAlignment="1">
      <alignment horizontal="centerContinuous"/>
    </xf>
    <xf numFmtId="0" fontId="18" fillId="0" borderId="145" xfId="0" applyFont="1" applyBorder="1" applyAlignment="1">
      <alignment horizontal="centerContinuous"/>
    </xf>
    <xf numFmtId="0" fontId="18" fillId="0" borderId="173" xfId="0" applyFont="1" applyBorder="1" applyAlignment="1">
      <alignment horizontal="left"/>
    </xf>
    <xf numFmtId="207" fontId="43" fillId="0" borderId="173" xfId="0" applyNumberFormat="1" applyFont="1" applyBorder="1" applyAlignment="1">
      <alignment horizontal="centerContinuous"/>
    </xf>
    <xf numFmtId="214" fontId="18" fillId="0" borderId="145" xfId="0" applyNumberFormat="1" applyFont="1" applyBorder="1" applyAlignment="1">
      <alignment horizontal="centerContinuous"/>
    </xf>
    <xf numFmtId="310" fontId="18" fillId="0" borderId="146" xfId="0" applyNumberFormat="1" applyFont="1" applyBorder="1" applyAlignment="1">
      <alignment horizontal="right"/>
    </xf>
    <xf numFmtId="183" fontId="18" fillId="0" borderId="0" xfId="0" applyNumberFormat="1" applyFont="1" applyBorder="1" applyAlignment="1">
      <alignment horizontal="centerContinuous"/>
    </xf>
    <xf numFmtId="214" fontId="18" fillId="0" borderId="0" xfId="0" applyNumberFormat="1" applyFont="1" applyBorder="1" applyAlignment="1">
      <alignment horizontal="center"/>
    </xf>
    <xf numFmtId="208" fontId="18" fillId="0" borderId="0" xfId="0" applyNumberFormat="1" applyFont="1" applyFill="1" applyBorder="1" applyAlignment="1">
      <alignment horizontal="center"/>
    </xf>
    <xf numFmtId="0" fontId="18" fillId="0" borderId="14" xfId="0" applyFont="1" applyBorder="1" applyAlignment="1">
      <alignment horizontal="center"/>
    </xf>
    <xf numFmtId="214" fontId="18" fillId="0" borderId="149" xfId="0" applyNumberFormat="1" applyFont="1" applyBorder="1" applyAlignment="1">
      <alignment horizontal="centerContinuous"/>
    </xf>
    <xf numFmtId="214" fontId="18" fillId="0" borderId="157" xfId="0" applyNumberFormat="1" applyFont="1" applyBorder="1" applyAlignment="1">
      <alignment horizontal="centerContinuous"/>
    </xf>
    <xf numFmtId="0" fontId="18" fillId="0" borderId="202" xfId="0" applyFont="1" applyBorder="1" applyAlignment="1">
      <alignment horizontal="centerContinuous"/>
    </xf>
    <xf numFmtId="4" fontId="18" fillId="0" borderId="149" xfId="0" applyNumberFormat="1" applyFont="1" applyFill="1" applyBorder="1" applyAlignment="1">
      <alignment horizontal="centerContinuous"/>
    </xf>
    <xf numFmtId="0" fontId="18" fillId="0" borderId="143" xfId="0" applyFont="1" applyBorder="1" applyAlignment="1">
      <alignment horizontal="centerContinuous"/>
    </xf>
    <xf numFmtId="183" fontId="18" fillId="0" borderId="17" xfId="0" applyNumberFormat="1" applyFont="1" applyBorder="1" applyAlignment="1">
      <alignment horizontal="centerContinuous"/>
    </xf>
    <xf numFmtId="4" fontId="18" fillId="0" borderId="67" xfId="0" applyNumberFormat="1" applyFont="1" applyFill="1" applyBorder="1" applyAlignment="1">
      <alignment horizontal="centerContinuous"/>
    </xf>
    <xf numFmtId="4" fontId="18" fillId="0" borderId="34" xfId="0" applyNumberFormat="1" applyFont="1" applyFill="1" applyBorder="1" applyAlignment="1">
      <alignment horizontal="centerContinuous"/>
    </xf>
    <xf numFmtId="0" fontId="18" fillId="0" borderId="31" xfId="0" applyFont="1" applyBorder="1" applyAlignment="1">
      <alignment horizontal="centerContinuous"/>
    </xf>
    <xf numFmtId="208" fontId="18" fillId="0" borderId="105" xfId="0" applyNumberFormat="1" applyFont="1" applyBorder="1" applyAlignment="1">
      <alignment horizontal="centerContinuous"/>
    </xf>
    <xf numFmtId="0" fontId="18" fillId="0" borderId="106" xfId="0" applyFont="1" applyBorder="1" applyAlignment="1">
      <alignment/>
    </xf>
    <xf numFmtId="0" fontId="18" fillId="0" borderId="105" xfId="0" applyFont="1" applyBorder="1" applyAlignment="1">
      <alignment/>
    </xf>
    <xf numFmtId="0" fontId="18" fillId="0" borderId="147" xfId="0" applyFont="1" applyBorder="1" applyAlignment="1">
      <alignment/>
    </xf>
    <xf numFmtId="0" fontId="42" fillId="33" borderId="0" xfId="0" applyFont="1" applyFill="1" applyAlignment="1">
      <alignment/>
    </xf>
    <xf numFmtId="0" fontId="42" fillId="44" borderId="0" xfId="0" applyFont="1" applyFill="1" applyAlignment="1">
      <alignment/>
    </xf>
    <xf numFmtId="4" fontId="43" fillId="45" borderId="0" xfId="0" applyNumberFormat="1" applyFont="1" applyFill="1" applyBorder="1" applyAlignment="1">
      <alignment horizontal="center"/>
    </xf>
    <xf numFmtId="208" fontId="43" fillId="45" borderId="194" xfId="0" applyNumberFormat="1" applyFont="1" applyFill="1" applyBorder="1" applyAlignment="1">
      <alignment horizontal="center"/>
    </xf>
    <xf numFmtId="0" fontId="43" fillId="0" borderId="175" xfId="0" applyFont="1" applyBorder="1" applyAlignment="1">
      <alignment/>
    </xf>
    <xf numFmtId="208" fontId="43" fillId="0" borderId="175" xfId="0" applyNumberFormat="1" applyFont="1" applyBorder="1" applyAlignment="1">
      <alignment/>
    </xf>
    <xf numFmtId="2" fontId="43" fillId="45" borderId="49" xfId="0" applyNumberFormat="1" applyFont="1" applyFill="1" applyBorder="1" applyAlignment="1">
      <alignment horizontal="center"/>
    </xf>
    <xf numFmtId="4" fontId="43" fillId="45" borderId="34" xfId="0" applyNumberFormat="1" applyFont="1" applyFill="1" applyBorder="1" applyAlignment="1">
      <alignment horizontal="center"/>
    </xf>
    <xf numFmtId="208" fontId="43" fillId="45" borderId="49" xfId="0" applyNumberFormat="1" applyFont="1" applyFill="1" applyBorder="1" applyAlignment="1">
      <alignment horizontal="center"/>
    </xf>
    <xf numFmtId="4" fontId="43" fillId="45" borderId="49" xfId="0" applyNumberFormat="1" applyFont="1" applyFill="1" applyBorder="1" applyAlignment="1">
      <alignment horizontal="center"/>
    </xf>
    <xf numFmtId="208" fontId="43" fillId="0" borderId="52" xfId="0" applyNumberFormat="1" applyFont="1" applyBorder="1" applyAlignment="1">
      <alignment horizontal="right"/>
    </xf>
    <xf numFmtId="2" fontId="43" fillId="45" borderId="201" xfId="0" applyNumberFormat="1" applyFont="1" applyFill="1" applyBorder="1" applyAlignment="1">
      <alignment horizontal="center"/>
    </xf>
    <xf numFmtId="4" fontId="43" fillId="45" borderId="173" xfId="0" applyNumberFormat="1" applyFont="1" applyFill="1" applyBorder="1" applyAlignment="1">
      <alignment horizontal="center"/>
    </xf>
    <xf numFmtId="208" fontId="43" fillId="45" borderId="201" xfId="0" applyNumberFormat="1" applyFont="1" applyFill="1" applyBorder="1" applyAlignment="1">
      <alignment horizontal="center"/>
    </xf>
    <xf numFmtId="4" fontId="43" fillId="45" borderId="201" xfId="0" applyNumberFormat="1" applyFont="1" applyFill="1" applyBorder="1" applyAlignment="1">
      <alignment horizontal="center"/>
    </xf>
    <xf numFmtId="208" fontId="43" fillId="0" borderId="171" xfId="0" applyNumberFormat="1" applyFont="1" applyBorder="1" applyAlignment="1">
      <alignment horizontal="right"/>
    </xf>
    <xf numFmtId="10" fontId="43" fillId="0" borderId="61" xfId="0" applyNumberFormat="1" applyFont="1" applyBorder="1" applyAlignment="1">
      <alignment horizontal="centerContinuous"/>
    </xf>
    <xf numFmtId="10" fontId="43" fillId="0" borderId="100" xfId="0" applyNumberFormat="1" applyFont="1" applyBorder="1" applyAlignment="1">
      <alignment horizontal="centerContinuous"/>
    </xf>
    <xf numFmtId="0" fontId="43" fillId="0" borderId="149" xfId="0" applyFont="1" applyFill="1" applyBorder="1" applyAlignment="1">
      <alignment horizontal="centerContinuous"/>
    </xf>
    <xf numFmtId="0" fontId="43" fillId="0" borderId="157" xfId="0" applyFont="1" applyFill="1" applyBorder="1" applyAlignment="1">
      <alignment horizontal="centerContinuous"/>
    </xf>
    <xf numFmtId="283" fontId="43" fillId="0" borderId="143" xfId="0" applyNumberFormat="1" applyFont="1" applyFill="1" applyBorder="1" applyAlignment="1">
      <alignment horizontal="centerContinuous"/>
    </xf>
    <xf numFmtId="58" fontId="43" fillId="0" borderId="131" xfId="0" applyNumberFormat="1" applyFont="1" applyBorder="1" applyAlignment="1">
      <alignment horizontal="centerContinuous"/>
    </xf>
    <xf numFmtId="58" fontId="43" fillId="0" borderId="137" xfId="0" applyNumberFormat="1" applyFont="1" applyBorder="1" applyAlignment="1">
      <alignment horizontal="centerContinuous"/>
    </xf>
    <xf numFmtId="0" fontId="43" fillId="0" borderId="203" xfId="0" applyFont="1" applyBorder="1" applyAlignment="1">
      <alignment horizontal="centerContinuous"/>
    </xf>
    <xf numFmtId="297" fontId="43" fillId="0" borderId="131" xfId="0" applyNumberFormat="1" applyFont="1" applyBorder="1" applyAlignment="1">
      <alignment horizontal="centerContinuous"/>
    </xf>
    <xf numFmtId="183" fontId="43" fillId="0" borderId="137" xfId="0" applyNumberFormat="1" applyFont="1" applyBorder="1" applyAlignment="1">
      <alignment horizontal="centerContinuous"/>
    </xf>
    <xf numFmtId="216" fontId="43" fillId="0" borderId="131" xfId="0" applyNumberFormat="1" applyFont="1" applyBorder="1" applyAlignment="1">
      <alignment horizontal="centerContinuous"/>
    </xf>
    <xf numFmtId="216" fontId="43" fillId="0" borderId="137" xfId="0" applyNumberFormat="1" applyFont="1" applyBorder="1" applyAlignment="1">
      <alignment horizontal="centerContinuous"/>
    </xf>
    <xf numFmtId="208" fontId="43" fillId="0" borderId="131" xfId="0" applyNumberFormat="1" applyFont="1" applyBorder="1" applyAlignment="1">
      <alignment horizontal="centerContinuous"/>
    </xf>
    <xf numFmtId="208" fontId="43" fillId="0" borderId="137" xfId="0" applyNumberFormat="1" applyFont="1" applyBorder="1" applyAlignment="1">
      <alignment horizontal="centerContinuous"/>
    </xf>
    <xf numFmtId="208" fontId="43" fillId="0" borderId="106" xfId="0" applyNumberFormat="1" applyFont="1" applyBorder="1" applyAlignment="1">
      <alignment horizontal="centerContinuous"/>
    </xf>
    <xf numFmtId="215" fontId="43" fillId="0" borderId="155" xfId="0" applyNumberFormat="1" applyFont="1" applyBorder="1" applyAlignment="1">
      <alignment horizontal="center"/>
    </xf>
    <xf numFmtId="215" fontId="43" fillId="0" borderId="146" xfId="0" applyNumberFormat="1" applyFont="1" applyBorder="1" applyAlignment="1">
      <alignment horizontal="center"/>
    </xf>
    <xf numFmtId="0" fontId="20" fillId="0" borderId="185" xfId="0" applyFont="1" applyBorder="1" applyAlignment="1">
      <alignment horizontal="centerContinuous"/>
    </xf>
    <xf numFmtId="227" fontId="43" fillId="0" borderId="76" xfId="0" applyNumberFormat="1" applyFont="1" applyBorder="1" applyAlignment="1">
      <alignment horizontal="center"/>
    </xf>
    <xf numFmtId="3" fontId="43" fillId="0" borderId="173" xfId="0" applyNumberFormat="1" applyFont="1" applyBorder="1" applyAlignment="1">
      <alignment horizontal="centerContinuous"/>
    </xf>
    <xf numFmtId="3" fontId="43" fillId="0" borderId="183" xfId="0" applyNumberFormat="1" applyFont="1" applyBorder="1" applyAlignment="1">
      <alignment horizontal="centerContinuous"/>
    </xf>
    <xf numFmtId="0" fontId="43" fillId="0" borderId="172" xfId="0" applyFont="1" applyBorder="1" applyAlignment="1">
      <alignment horizontal="centerContinuous"/>
    </xf>
    <xf numFmtId="4" fontId="43" fillId="0" borderId="33" xfId="0" applyNumberFormat="1" applyFont="1" applyFill="1" applyBorder="1" applyAlignment="1">
      <alignment horizontal="center"/>
    </xf>
    <xf numFmtId="208" fontId="43" fillId="0" borderId="194" xfId="0" applyNumberFormat="1" applyFont="1" applyFill="1" applyBorder="1" applyAlignment="1">
      <alignment horizontal="center"/>
    </xf>
    <xf numFmtId="4" fontId="43" fillId="0" borderId="0" xfId="0" applyNumberFormat="1" applyFont="1" applyFill="1" applyBorder="1" applyAlignment="1">
      <alignment horizontal="center"/>
    </xf>
    <xf numFmtId="4" fontId="43" fillId="0" borderId="49" xfId="0" applyNumberFormat="1" applyFont="1" applyFill="1" applyBorder="1" applyAlignment="1">
      <alignment horizontal="center"/>
    </xf>
    <xf numFmtId="4" fontId="43" fillId="0" borderId="34" xfId="0" applyNumberFormat="1" applyFont="1" applyFill="1" applyBorder="1" applyAlignment="1">
      <alignment horizontal="center"/>
    </xf>
    <xf numFmtId="208" fontId="43" fillId="0" borderId="49" xfId="0" applyNumberFormat="1" applyFont="1" applyFill="1" applyBorder="1" applyAlignment="1">
      <alignment horizontal="center"/>
    </xf>
    <xf numFmtId="208" fontId="43" fillId="0" borderId="52" xfId="0" applyNumberFormat="1" applyFont="1" applyBorder="1" applyAlignment="1">
      <alignment/>
    </xf>
    <xf numFmtId="4" fontId="43" fillId="0" borderId="201" xfId="0" applyNumberFormat="1" applyFont="1" applyFill="1" applyBorder="1" applyAlignment="1">
      <alignment horizontal="center"/>
    </xf>
    <xf numFmtId="4" fontId="43" fillId="0" borderId="173" xfId="0" applyNumberFormat="1" applyFont="1" applyFill="1" applyBorder="1" applyAlignment="1">
      <alignment horizontal="center"/>
    </xf>
    <xf numFmtId="208" fontId="43" fillId="0" borderId="201" xfId="0" applyNumberFormat="1" applyFont="1" applyFill="1" applyBorder="1" applyAlignment="1">
      <alignment horizontal="center"/>
    </xf>
    <xf numFmtId="208" fontId="43" fillId="0" borderId="171" xfId="0" applyNumberFormat="1" applyFont="1" applyBorder="1" applyAlignment="1">
      <alignment/>
    </xf>
    <xf numFmtId="38" fontId="43" fillId="0" borderId="149" xfId="48" applyFont="1" applyBorder="1" applyAlignment="1">
      <alignment horizontal="centerContinuous"/>
    </xf>
    <xf numFmtId="38" fontId="43" fillId="0" borderId="202" xfId="48" applyFont="1" applyBorder="1" applyAlignment="1">
      <alignment horizontal="centerContinuous"/>
    </xf>
    <xf numFmtId="38" fontId="43" fillId="0" borderId="131" xfId="48" applyFont="1" applyBorder="1" applyAlignment="1">
      <alignment horizontal="centerContinuous"/>
    </xf>
    <xf numFmtId="38" fontId="43" fillId="0" borderId="30" xfId="48" applyFont="1" applyBorder="1" applyAlignment="1">
      <alignment horizontal="centerContinuous"/>
    </xf>
    <xf numFmtId="38" fontId="43" fillId="0" borderId="137" xfId="48" applyFont="1" applyBorder="1" applyAlignment="1">
      <alignment horizontal="centerContinuous"/>
    </xf>
    <xf numFmtId="38" fontId="43" fillId="0" borderId="152" xfId="48" applyFont="1" applyBorder="1" applyAlignment="1">
      <alignment horizontal="centerContinuous"/>
    </xf>
    <xf numFmtId="38" fontId="43" fillId="0" borderId="142" xfId="48" applyFont="1" applyBorder="1" applyAlignment="1">
      <alignment horizontal="centerContinuous"/>
    </xf>
    <xf numFmtId="38" fontId="43" fillId="0" borderId="204" xfId="48" applyFont="1" applyBorder="1" applyAlignment="1">
      <alignment horizontal="centerContinuous"/>
    </xf>
    <xf numFmtId="10" fontId="43" fillId="0" borderId="152" xfId="0" applyNumberFormat="1" applyFont="1" applyBorder="1" applyAlignment="1">
      <alignment horizontal="centerContinuous"/>
    </xf>
    <xf numFmtId="10" fontId="43" fillId="0" borderId="204" xfId="0" applyNumberFormat="1" applyFont="1" applyBorder="1" applyAlignment="1">
      <alignment horizontal="centerContinuous"/>
    </xf>
    <xf numFmtId="0" fontId="43" fillId="0" borderId="139" xfId="0" applyFont="1" applyBorder="1" applyAlignment="1">
      <alignment horizontal="centerContinuous"/>
    </xf>
    <xf numFmtId="0" fontId="43" fillId="0" borderId="162" xfId="0" applyFont="1" applyBorder="1" applyAlignment="1">
      <alignment horizontal="centerContinuous"/>
    </xf>
    <xf numFmtId="208" fontId="43" fillId="0" borderId="139" xfId="48" applyNumberFormat="1" applyFont="1" applyBorder="1" applyAlignment="1">
      <alignment horizontal="centerContinuous"/>
    </xf>
    <xf numFmtId="208" fontId="43" fillId="0" borderId="162" xfId="48" applyNumberFormat="1" applyFont="1" applyBorder="1" applyAlignment="1">
      <alignment horizontal="centerContinuous"/>
    </xf>
    <xf numFmtId="0" fontId="43" fillId="0" borderId="169" xfId="0" applyFont="1" applyBorder="1" applyAlignment="1">
      <alignment horizontal="centerContinuous"/>
    </xf>
    <xf numFmtId="0" fontId="0" fillId="33" borderId="0" xfId="0" applyFont="1" applyFill="1" applyAlignment="1" applyProtection="1">
      <alignment/>
      <protection locked="0"/>
    </xf>
    <xf numFmtId="0" fontId="0" fillId="33" borderId="0" xfId="0" applyFont="1" applyFill="1" applyAlignment="1" applyProtection="1">
      <alignment/>
      <protection/>
    </xf>
    <xf numFmtId="0" fontId="0" fillId="33" borderId="13" xfId="0" applyFont="1" applyFill="1" applyBorder="1" applyAlignment="1" applyProtection="1">
      <alignment horizontal="center" vertical="center"/>
      <protection locked="0"/>
    </xf>
    <xf numFmtId="49" fontId="0" fillId="40" borderId="13" xfId="0" applyNumberFormat="1" applyFont="1" applyFill="1" applyBorder="1" applyAlignment="1" applyProtection="1">
      <alignment horizontal="center" vertical="center"/>
      <protection locked="0"/>
    </xf>
    <xf numFmtId="0" fontId="0" fillId="33" borderId="13" xfId="0" applyFont="1" applyFill="1" applyBorder="1" applyAlignment="1">
      <alignment horizontal="center" vertical="center"/>
    </xf>
    <xf numFmtId="0" fontId="0" fillId="40" borderId="13" xfId="0" applyFont="1" applyFill="1" applyBorder="1" applyAlignment="1" applyProtection="1">
      <alignment horizontal="center" vertical="center"/>
      <protection locked="0"/>
    </xf>
    <xf numFmtId="0" fontId="0" fillId="33" borderId="13" xfId="0" applyFont="1" applyFill="1" applyBorder="1" applyAlignment="1" applyProtection="1">
      <alignment horizontal="center" vertical="center"/>
      <protection/>
    </xf>
    <xf numFmtId="57" fontId="0" fillId="40" borderId="13" xfId="0" applyNumberFormat="1" applyFont="1" applyFill="1" applyBorder="1" applyAlignment="1" applyProtection="1">
      <alignment horizontal="center" vertical="center"/>
      <protection locked="0"/>
    </xf>
    <xf numFmtId="3" fontId="0" fillId="40" borderId="13" xfId="0" applyNumberFormat="1" applyFont="1" applyFill="1" applyBorder="1" applyAlignment="1">
      <alignment horizontal="center" vertical="center"/>
    </xf>
    <xf numFmtId="0" fontId="0" fillId="33" borderId="0" xfId="0" applyFont="1" applyFill="1" applyAlignment="1">
      <alignment vertical="center"/>
    </xf>
    <xf numFmtId="0" fontId="0" fillId="33" borderId="0" xfId="0" applyFont="1" applyFill="1" applyAlignment="1" applyProtection="1">
      <alignment vertical="center"/>
      <protection/>
    </xf>
    <xf numFmtId="0" fontId="0" fillId="33" borderId="0" xfId="0" applyFont="1" applyFill="1" applyAlignment="1" applyProtection="1">
      <alignment/>
      <protection/>
    </xf>
    <xf numFmtId="0" fontId="0" fillId="33" borderId="0" xfId="0" applyFont="1" applyFill="1" applyBorder="1" applyAlignment="1" applyProtection="1">
      <alignment/>
      <protection/>
    </xf>
    <xf numFmtId="0" fontId="0" fillId="33" borderId="0" xfId="0" applyFont="1" applyFill="1" applyBorder="1" applyAlignment="1" applyProtection="1">
      <alignment/>
      <protection/>
    </xf>
    <xf numFmtId="0" fontId="0" fillId="33" borderId="13" xfId="0" applyFont="1" applyFill="1" applyBorder="1" applyAlignment="1" applyProtection="1">
      <alignment horizontal="center"/>
      <protection/>
    </xf>
    <xf numFmtId="0" fontId="0" fillId="33" borderId="128" xfId="0" applyFont="1" applyFill="1" applyBorder="1" applyAlignment="1" applyProtection="1">
      <alignment horizontal="center"/>
      <protection/>
    </xf>
    <xf numFmtId="0" fontId="33" fillId="33" borderId="13" xfId="0" applyFont="1" applyFill="1" applyBorder="1" applyAlignment="1" applyProtection="1">
      <alignment horizontal="center"/>
      <protection/>
    </xf>
    <xf numFmtId="0" fontId="0" fillId="33" borderId="131" xfId="0" applyFont="1" applyFill="1" applyBorder="1" applyAlignment="1" applyProtection="1">
      <alignment horizontal="center"/>
      <protection/>
    </xf>
    <xf numFmtId="0" fontId="32" fillId="37" borderId="191" xfId="0" applyFont="1" applyFill="1" applyBorder="1" applyAlignment="1" applyProtection="1">
      <alignment horizontal="center"/>
      <protection locked="0"/>
    </xf>
    <xf numFmtId="0" fontId="0" fillId="33" borderId="30" xfId="0" applyFont="1" applyFill="1" applyBorder="1" applyAlignment="1" applyProtection="1">
      <alignment horizontal="center"/>
      <protection/>
    </xf>
    <xf numFmtId="0" fontId="0" fillId="33" borderId="13" xfId="0" applyFont="1" applyFill="1" applyBorder="1" applyAlignment="1">
      <alignment/>
    </xf>
    <xf numFmtId="0" fontId="0" fillId="33" borderId="13" xfId="0" applyFont="1" applyFill="1" applyBorder="1" applyAlignment="1" applyProtection="1">
      <alignment horizontal="left"/>
      <protection/>
    </xf>
    <xf numFmtId="40" fontId="0" fillId="33" borderId="13" xfId="48" applyNumberFormat="1" applyFont="1" applyFill="1" applyBorder="1" applyAlignment="1" applyProtection="1">
      <alignment horizontal="right"/>
      <protection/>
    </xf>
    <xf numFmtId="57" fontId="0" fillId="33" borderId="13" xfId="0" applyNumberFormat="1" applyFont="1" applyFill="1" applyBorder="1" applyAlignment="1" applyProtection="1">
      <alignment horizontal="center"/>
      <protection/>
    </xf>
    <xf numFmtId="38" fontId="0" fillId="33" borderId="13" xfId="48" applyFont="1" applyFill="1" applyBorder="1" applyAlignment="1" applyProtection="1">
      <alignment horizontal="right"/>
      <protection/>
    </xf>
    <xf numFmtId="0" fontId="0" fillId="33" borderId="13" xfId="0" applyFont="1" applyFill="1" applyBorder="1" applyAlignment="1" applyProtection="1">
      <alignment horizontal="center"/>
      <protection/>
    </xf>
    <xf numFmtId="180" fontId="0" fillId="33" borderId="13" xfId="0" applyNumberFormat="1" applyFont="1" applyFill="1" applyBorder="1" applyAlignment="1" applyProtection="1">
      <alignment horizontal="right"/>
      <protection/>
    </xf>
    <xf numFmtId="0" fontId="0" fillId="33" borderId="131" xfId="0" applyFont="1" applyFill="1" applyBorder="1" applyAlignment="1" applyProtection="1">
      <alignment horizontal="center" vertical="center"/>
      <protection/>
    </xf>
    <xf numFmtId="0" fontId="37" fillId="37" borderId="205" xfId="0" applyFont="1" applyFill="1" applyBorder="1" applyAlignment="1" applyProtection="1">
      <alignment horizontal="center"/>
      <protection locked="0"/>
    </xf>
    <xf numFmtId="0" fontId="0" fillId="33" borderId="30" xfId="0" applyFont="1" applyFill="1" applyBorder="1" applyAlignment="1" applyProtection="1">
      <alignment horizontal="center"/>
      <protection/>
    </xf>
    <xf numFmtId="0" fontId="0" fillId="33" borderId="13" xfId="0" applyFont="1" applyFill="1" applyBorder="1" applyAlignment="1">
      <alignment/>
    </xf>
    <xf numFmtId="0" fontId="0" fillId="33" borderId="13" xfId="0" applyFont="1" applyFill="1" applyBorder="1" applyAlignment="1" applyProtection="1">
      <alignment horizontal="left"/>
      <protection/>
    </xf>
    <xf numFmtId="40" fontId="0" fillId="33" borderId="13" xfId="48" applyNumberFormat="1" applyFont="1" applyFill="1" applyBorder="1" applyAlignment="1" applyProtection="1">
      <alignment horizontal="right"/>
      <protection/>
    </xf>
    <xf numFmtId="57" fontId="0" fillId="33" borderId="13" xfId="0" applyNumberFormat="1" applyFont="1" applyFill="1" applyBorder="1" applyAlignment="1" applyProtection="1">
      <alignment horizontal="center"/>
      <protection/>
    </xf>
    <xf numFmtId="38" fontId="0" fillId="33" borderId="13" xfId="48" applyFont="1" applyFill="1" applyBorder="1" applyAlignment="1" applyProtection="1">
      <alignment horizontal="right"/>
      <protection/>
    </xf>
    <xf numFmtId="0" fontId="0" fillId="33" borderId="13" xfId="0" applyFont="1" applyFill="1" applyBorder="1" applyAlignment="1" applyProtection="1">
      <alignment horizontal="center"/>
      <protection/>
    </xf>
    <xf numFmtId="180" fontId="0" fillId="33" borderId="13" xfId="0" applyNumberFormat="1" applyFont="1" applyFill="1" applyBorder="1" applyAlignment="1" applyProtection="1">
      <alignment horizontal="right"/>
      <protection/>
    </xf>
    <xf numFmtId="0" fontId="0" fillId="33" borderId="131" xfId="0" applyFont="1" applyFill="1" applyBorder="1" applyAlignment="1" applyProtection="1">
      <alignment horizontal="center" vertical="center"/>
      <protection/>
    </xf>
    <xf numFmtId="0" fontId="37" fillId="37" borderId="151" xfId="0" applyFont="1" applyFill="1" applyBorder="1" applyAlignment="1" applyProtection="1">
      <alignment horizontal="center"/>
      <protection locked="0"/>
    </xf>
    <xf numFmtId="0" fontId="37" fillId="37" borderId="206" xfId="0" applyFont="1" applyFill="1" applyBorder="1" applyAlignment="1" applyProtection="1">
      <alignment horizontal="center"/>
      <protection locked="0"/>
    </xf>
    <xf numFmtId="0" fontId="0" fillId="33" borderId="131" xfId="0" applyFont="1" applyFill="1" applyBorder="1" applyAlignment="1" applyProtection="1">
      <alignment horizontal="center"/>
      <protection/>
    </xf>
    <xf numFmtId="0" fontId="44" fillId="37" borderId="150" xfId="0" applyFont="1" applyFill="1" applyBorder="1" applyAlignment="1" applyProtection="1">
      <alignment horizontal="center"/>
      <protection locked="0"/>
    </xf>
    <xf numFmtId="0" fontId="0" fillId="33" borderId="30" xfId="0" applyFont="1" applyFill="1" applyBorder="1" applyAlignment="1" applyProtection="1">
      <alignment horizontal="center"/>
      <protection/>
    </xf>
    <xf numFmtId="0" fontId="0" fillId="33" borderId="13" xfId="0" applyFont="1" applyFill="1" applyBorder="1" applyAlignment="1">
      <alignment/>
    </xf>
    <xf numFmtId="0" fontId="0" fillId="33" borderId="13" xfId="0" applyFont="1" applyFill="1" applyBorder="1" applyAlignment="1" applyProtection="1">
      <alignment horizontal="left"/>
      <protection/>
    </xf>
    <xf numFmtId="40" fontId="0" fillId="33" borderId="13" xfId="48" applyNumberFormat="1" applyFont="1" applyFill="1" applyBorder="1" applyAlignment="1" applyProtection="1">
      <alignment horizontal="right"/>
      <protection/>
    </xf>
    <xf numFmtId="57" fontId="0" fillId="33" borderId="13" xfId="0" applyNumberFormat="1" applyFont="1" applyFill="1" applyBorder="1" applyAlignment="1" applyProtection="1">
      <alignment horizontal="center"/>
      <protection/>
    </xf>
    <xf numFmtId="38" fontId="0" fillId="33" borderId="13" xfId="48" applyFont="1" applyFill="1" applyBorder="1" applyAlignment="1" applyProtection="1">
      <alignment horizontal="right"/>
      <protection/>
    </xf>
    <xf numFmtId="0" fontId="0" fillId="33" borderId="13" xfId="0" applyFont="1" applyFill="1" applyBorder="1" applyAlignment="1" applyProtection="1">
      <alignment horizontal="center"/>
      <protection/>
    </xf>
    <xf numFmtId="180" fontId="0" fillId="33" borderId="13" xfId="0" applyNumberFormat="1" applyFont="1" applyFill="1" applyBorder="1" applyAlignment="1" applyProtection="1">
      <alignment horizontal="right"/>
      <protection/>
    </xf>
    <xf numFmtId="0" fontId="0" fillId="33" borderId="131" xfId="0" applyFont="1" applyFill="1" applyBorder="1" applyAlignment="1" applyProtection="1">
      <alignment horizontal="center"/>
      <protection/>
    </xf>
    <xf numFmtId="0" fontId="44" fillId="37" borderId="153" xfId="0" applyFont="1" applyFill="1" applyBorder="1" applyAlignment="1" applyProtection="1">
      <alignment horizontal="center"/>
      <protection locked="0"/>
    </xf>
    <xf numFmtId="0" fontId="0" fillId="33" borderId="207" xfId="0" applyFont="1" applyFill="1" applyBorder="1" applyAlignment="1" applyProtection="1">
      <alignment horizontal="center"/>
      <protection/>
    </xf>
    <xf numFmtId="0" fontId="0" fillId="33" borderId="208" xfId="0" applyFont="1" applyFill="1" applyBorder="1" applyAlignment="1" applyProtection="1">
      <alignment horizontal="center"/>
      <protection/>
    </xf>
    <xf numFmtId="0" fontId="0" fillId="33" borderId="13" xfId="0" applyFont="1" applyFill="1" applyBorder="1" applyAlignment="1">
      <alignment horizontal="center"/>
    </xf>
    <xf numFmtId="0" fontId="0" fillId="33" borderId="0" xfId="0" applyFont="1" applyFill="1" applyAlignment="1">
      <alignment/>
    </xf>
    <xf numFmtId="0" fontId="0" fillId="33" borderId="0" xfId="0" applyFont="1" applyFill="1" applyAlignment="1" applyProtection="1">
      <alignment/>
      <protection/>
    </xf>
    <xf numFmtId="0" fontId="0" fillId="33" borderId="0" xfId="0" applyFont="1" applyFill="1" applyAlignment="1" applyProtection="1">
      <alignment horizontal="centerContinuous"/>
      <protection/>
    </xf>
    <xf numFmtId="3" fontId="0" fillId="33" borderId="13" xfId="0" applyNumberFormat="1" applyFont="1" applyFill="1" applyBorder="1" applyAlignment="1" applyProtection="1">
      <alignment/>
      <protection/>
    </xf>
    <xf numFmtId="0" fontId="0" fillId="33" borderId="13" xfId="0" applyFont="1" applyFill="1" applyBorder="1" applyAlignment="1" applyProtection="1">
      <alignment horizontal="centerContinuous"/>
      <protection/>
    </xf>
    <xf numFmtId="0" fontId="0" fillId="33" borderId="127" xfId="0" applyFont="1" applyFill="1" applyBorder="1" applyAlignment="1" applyProtection="1">
      <alignment horizontal="centerContinuous"/>
      <protection/>
    </xf>
    <xf numFmtId="0" fontId="0" fillId="33" borderId="138" xfId="0" applyFont="1" applyFill="1" applyBorder="1" applyAlignment="1" applyProtection="1">
      <alignment horizontal="centerContinuous"/>
      <protection/>
    </xf>
    <xf numFmtId="0" fontId="0" fillId="33" borderId="131" xfId="0" applyFont="1" applyFill="1" applyBorder="1" applyAlignment="1" applyProtection="1">
      <alignment horizontal="left"/>
      <protection/>
    </xf>
    <xf numFmtId="0" fontId="0" fillId="33" borderId="137" xfId="0" applyFont="1" applyFill="1" applyBorder="1" applyAlignment="1" applyProtection="1">
      <alignment horizontal="left"/>
      <protection/>
    </xf>
    <xf numFmtId="0" fontId="0" fillId="33" borderId="30" xfId="0" applyFont="1" applyFill="1" applyBorder="1" applyAlignment="1" applyProtection="1">
      <alignment horizontal="left"/>
      <protection/>
    </xf>
    <xf numFmtId="4" fontId="0" fillId="33" borderId="13" xfId="0" applyNumberFormat="1" applyFont="1" applyFill="1" applyBorder="1" applyAlignment="1" applyProtection="1">
      <alignment horizontal="center"/>
      <protection/>
    </xf>
    <xf numFmtId="0" fontId="0" fillId="33" borderId="67" xfId="0" applyFont="1" applyFill="1" applyBorder="1" applyAlignment="1" applyProtection="1">
      <alignment horizontal="centerContinuous"/>
      <protection/>
    </xf>
    <xf numFmtId="0" fontId="0" fillId="33" borderId="31" xfId="0" applyFont="1" applyFill="1" applyBorder="1" applyAlignment="1" applyProtection="1">
      <alignment horizontal="centerContinuous"/>
      <protection/>
    </xf>
    <xf numFmtId="0" fontId="32" fillId="43" borderId="13" xfId="0" applyFont="1" applyFill="1" applyBorder="1" applyAlignment="1" applyProtection="1">
      <alignment horizontal="center"/>
      <protection/>
    </xf>
    <xf numFmtId="310" fontId="32" fillId="37" borderId="13" xfId="0" applyNumberFormat="1" applyFont="1" applyFill="1" applyBorder="1" applyAlignment="1" applyProtection="1">
      <alignment horizontal="center"/>
      <protection locked="0"/>
    </xf>
    <xf numFmtId="0" fontId="32" fillId="43" borderId="13" xfId="0" applyFont="1" applyFill="1" applyBorder="1" applyAlignment="1" applyProtection="1">
      <alignment horizontal="centerContinuous"/>
      <protection/>
    </xf>
    <xf numFmtId="284" fontId="32" fillId="37" borderId="13" xfId="0" applyNumberFormat="1" applyFont="1" applyFill="1" applyBorder="1" applyAlignment="1" applyProtection="1">
      <alignment horizontal="center"/>
      <protection locked="0"/>
    </xf>
    <xf numFmtId="284" fontId="32" fillId="43" borderId="13" xfId="0" applyNumberFormat="1" applyFont="1" applyFill="1" applyBorder="1" applyAlignment="1" applyProtection="1">
      <alignment horizontal="center"/>
      <protection locked="0"/>
    </xf>
    <xf numFmtId="0" fontId="32" fillId="43" borderId="13" xfId="0" applyFont="1" applyFill="1" applyBorder="1" applyAlignment="1" applyProtection="1">
      <alignment horizontal="center"/>
      <protection locked="0"/>
    </xf>
    <xf numFmtId="0" fontId="32" fillId="33" borderId="0" xfId="0" applyFont="1" applyFill="1" applyBorder="1" applyAlignment="1" applyProtection="1">
      <alignment horizontal="center"/>
      <protection/>
    </xf>
    <xf numFmtId="0" fontId="32" fillId="33" borderId="0" xfId="0" applyFont="1" applyFill="1" applyBorder="1" applyAlignment="1" applyProtection="1">
      <alignment horizontal="centerContinuous"/>
      <protection/>
    </xf>
    <xf numFmtId="4" fontId="32" fillId="33" borderId="0" xfId="0" applyNumberFormat="1" applyFont="1" applyFill="1" applyBorder="1" applyAlignment="1" applyProtection="1">
      <alignment horizontal="center"/>
      <protection/>
    </xf>
    <xf numFmtId="0" fontId="0" fillId="33" borderId="0" xfId="0" applyFont="1" applyFill="1" applyBorder="1" applyAlignment="1">
      <alignment/>
    </xf>
    <xf numFmtId="0" fontId="0" fillId="33" borderId="209" xfId="0" applyFont="1" applyFill="1" applyBorder="1" applyAlignment="1">
      <alignment/>
    </xf>
    <xf numFmtId="57" fontId="0" fillId="33" borderId="191" xfId="0" applyNumberFormat="1" applyFont="1" applyFill="1" applyBorder="1" applyAlignment="1">
      <alignment horizontal="center"/>
    </xf>
    <xf numFmtId="0" fontId="32" fillId="33" borderId="0" xfId="0" applyFont="1" applyFill="1" applyBorder="1" applyAlignment="1">
      <alignment/>
    </xf>
    <xf numFmtId="57" fontId="35" fillId="38" borderId="104" xfId="0" applyNumberFormat="1" applyFont="1" applyFill="1" applyBorder="1" applyAlignment="1" applyProtection="1">
      <alignment horizontal="center"/>
      <protection locked="0"/>
    </xf>
    <xf numFmtId="0" fontId="0" fillId="37" borderId="150" xfId="0" applyFont="1" applyFill="1" applyBorder="1" applyAlignment="1" applyProtection="1">
      <alignment horizontal="center"/>
      <protection locked="0"/>
    </xf>
    <xf numFmtId="2" fontId="0" fillId="33" borderId="150" xfId="0" applyNumberFormat="1" applyFont="1" applyFill="1" applyBorder="1" applyAlignment="1" applyProtection="1">
      <alignment horizontal="center"/>
      <protection/>
    </xf>
    <xf numFmtId="0" fontId="0" fillId="33" borderId="0" xfId="0" applyFont="1" applyFill="1" applyAlignment="1">
      <alignment/>
    </xf>
    <xf numFmtId="0" fontId="0" fillId="33" borderId="0" xfId="0" applyFont="1" applyFill="1" applyBorder="1" applyAlignment="1">
      <alignment/>
    </xf>
    <xf numFmtId="0" fontId="0" fillId="33" borderId="209" xfId="0" applyFont="1" applyFill="1" applyBorder="1" applyAlignment="1">
      <alignment/>
    </xf>
    <xf numFmtId="0" fontId="0" fillId="37" borderId="104" xfId="0" applyFont="1" applyFill="1" applyBorder="1" applyAlignment="1" applyProtection="1">
      <alignment horizontal="center"/>
      <protection locked="0"/>
    </xf>
    <xf numFmtId="0" fontId="0" fillId="37" borderId="151" xfId="0" applyFont="1" applyFill="1" applyBorder="1" applyAlignment="1" applyProtection="1">
      <alignment horizontal="center"/>
      <protection locked="0"/>
    </xf>
    <xf numFmtId="2" fontId="0" fillId="33" borderId="151" xfId="0" applyNumberFormat="1" applyFont="1" applyFill="1" applyBorder="1" applyAlignment="1" applyProtection="1">
      <alignment horizontal="center"/>
      <protection/>
    </xf>
    <xf numFmtId="57" fontId="32" fillId="33" borderId="0" xfId="0" applyNumberFormat="1" applyFont="1" applyFill="1" applyBorder="1" applyAlignment="1">
      <alignment horizontal="left"/>
    </xf>
    <xf numFmtId="0" fontId="0" fillId="33" borderId="0" xfId="0" applyFont="1" applyFill="1" applyBorder="1" applyAlignment="1">
      <alignment/>
    </xf>
    <xf numFmtId="0" fontId="35" fillId="33" borderId="191" xfId="0" applyNumberFormat="1" applyFont="1" applyFill="1" applyBorder="1" applyAlignment="1">
      <alignment horizontal="center"/>
    </xf>
    <xf numFmtId="0" fontId="0" fillId="33" borderId="0" xfId="0" applyFont="1" applyFill="1" applyBorder="1" applyAlignment="1" applyProtection="1">
      <alignment horizontal="center"/>
      <protection locked="0"/>
    </xf>
    <xf numFmtId="0" fontId="0" fillId="37" borderId="153" xfId="0" applyFont="1" applyFill="1" applyBorder="1" applyAlignment="1" applyProtection="1">
      <alignment horizontal="center"/>
      <protection locked="0"/>
    </xf>
    <xf numFmtId="2" fontId="0" fillId="33" borderId="153" xfId="0" applyNumberFormat="1" applyFont="1" applyFill="1" applyBorder="1" applyAlignment="1" applyProtection="1">
      <alignment horizontal="center"/>
      <protection/>
    </xf>
    <xf numFmtId="0" fontId="0" fillId="33" borderId="0" xfId="0" applyFont="1" applyFill="1" applyBorder="1" applyAlignment="1" applyProtection="1">
      <alignment horizontal="center"/>
      <protection locked="0"/>
    </xf>
    <xf numFmtId="0" fontId="0" fillId="33" borderId="0" xfId="0" applyFont="1" applyFill="1" applyBorder="1" applyAlignment="1">
      <alignment horizontal="center"/>
    </xf>
    <xf numFmtId="0" fontId="0" fillId="33" borderId="0" xfId="0" applyFont="1" applyFill="1" applyAlignment="1" applyProtection="1">
      <alignment horizontal="center"/>
      <protection locked="0"/>
    </xf>
    <xf numFmtId="0" fontId="0" fillId="33" borderId="13" xfId="0" applyFont="1" applyFill="1" applyBorder="1" applyAlignment="1">
      <alignment horizontal="fill"/>
    </xf>
    <xf numFmtId="3" fontId="0" fillId="33" borderId="13" xfId="0" applyNumberFormat="1" applyFont="1" applyFill="1" applyBorder="1" applyAlignment="1">
      <alignment/>
    </xf>
    <xf numFmtId="0" fontId="0" fillId="46" borderId="138" xfId="0" applyFont="1" applyFill="1" applyBorder="1" applyAlignment="1" applyProtection="1">
      <alignment horizontal="center"/>
      <protection/>
    </xf>
    <xf numFmtId="0" fontId="0" fillId="33" borderId="210" xfId="0" applyFont="1" applyFill="1" applyBorder="1" applyAlignment="1" applyProtection="1">
      <alignment horizontal="center"/>
      <protection/>
    </xf>
    <xf numFmtId="0" fontId="0" fillId="33" borderId="211" xfId="0" applyFont="1" applyFill="1" applyBorder="1" applyAlignment="1" applyProtection="1">
      <alignment horizontal="center"/>
      <protection/>
    </xf>
    <xf numFmtId="3" fontId="0" fillId="33" borderId="127" xfId="0" applyNumberFormat="1" applyFont="1" applyFill="1" applyBorder="1" applyAlignment="1">
      <alignment/>
    </xf>
    <xf numFmtId="1" fontId="1" fillId="37" borderId="212" xfId="0" applyNumberFormat="1" applyFont="1" applyFill="1" applyBorder="1" applyAlignment="1" applyProtection="1">
      <alignment horizontal="center"/>
      <protection locked="0"/>
    </xf>
    <xf numFmtId="3" fontId="0" fillId="33" borderId="213" xfId="0" applyNumberFormat="1" applyFont="1" applyFill="1" applyBorder="1" applyAlignment="1">
      <alignment horizontal="center"/>
    </xf>
    <xf numFmtId="0" fontId="35" fillId="37" borderId="212" xfId="0" applyFont="1" applyFill="1" applyBorder="1" applyAlignment="1" applyProtection="1">
      <alignment horizontal="center"/>
      <protection locked="0"/>
    </xf>
    <xf numFmtId="0" fontId="0" fillId="33" borderId="67" xfId="0" applyFont="1" applyFill="1" applyBorder="1" applyAlignment="1">
      <alignment horizontal="fill"/>
    </xf>
    <xf numFmtId="3" fontId="35" fillId="37" borderId="212" xfId="0" applyNumberFormat="1" applyFont="1" applyFill="1" applyBorder="1" applyAlignment="1" applyProtection="1">
      <alignment/>
      <protection locked="0"/>
    </xf>
    <xf numFmtId="0" fontId="1" fillId="46" borderId="31" xfId="0" applyFont="1" applyFill="1" applyBorder="1" applyAlignment="1" applyProtection="1">
      <alignment horizontal="center"/>
      <protection/>
    </xf>
    <xf numFmtId="3" fontId="0" fillId="33" borderId="0" xfId="0" applyNumberFormat="1" applyFont="1" applyFill="1" applyBorder="1" applyAlignment="1">
      <alignment horizontal="left"/>
    </xf>
    <xf numFmtId="0" fontId="1" fillId="46" borderId="0" xfId="0" applyFont="1" applyFill="1" applyBorder="1" applyAlignment="1" applyProtection="1">
      <alignment horizontal="center"/>
      <protection/>
    </xf>
    <xf numFmtId="0" fontId="0" fillId="33" borderId="0" xfId="0" applyFont="1" applyFill="1" applyBorder="1" applyAlignment="1">
      <alignment horizontal="right"/>
    </xf>
    <xf numFmtId="3" fontId="35" fillId="34" borderId="214" xfId="0" applyNumberFormat="1" applyFont="1" applyFill="1" applyBorder="1" applyAlignment="1" applyProtection="1">
      <alignment horizontal="center"/>
      <protection/>
    </xf>
    <xf numFmtId="0" fontId="0" fillId="33" borderId="0" xfId="0" applyFont="1" applyFill="1" applyAlignment="1" applyProtection="1">
      <alignment horizontal="center"/>
      <protection locked="0"/>
    </xf>
    <xf numFmtId="0" fontId="0" fillId="33" borderId="209" xfId="0" applyFont="1" applyFill="1" applyBorder="1" applyAlignment="1" applyProtection="1">
      <alignment/>
      <protection/>
    </xf>
    <xf numFmtId="0" fontId="0" fillId="33" borderId="0" xfId="0" applyFont="1" applyFill="1" applyAlignment="1" applyProtection="1">
      <alignment/>
      <protection/>
    </xf>
    <xf numFmtId="0" fontId="0" fillId="33" borderId="0" xfId="0" applyFont="1" applyFill="1" applyBorder="1" applyAlignment="1">
      <alignment horizontal="right"/>
    </xf>
    <xf numFmtId="3" fontId="0" fillId="33" borderId="13" xfId="0" applyNumberFormat="1" applyFont="1" applyFill="1" applyBorder="1" applyAlignment="1">
      <alignment/>
    </xf>
    <xf numFmtId="3" fontId="0" fillId="46" borderId="32" xfId="0" applyNumberFormat="1" applyFont="1" applyFill="1" applyBorder="1" applyAlignment="1" applyProtection="1">
      <alignment/>
      <protection/>
    </xf>
    <xf numFmtId="10" fontId="0" fillId="47" borderId="13" xfId="0" applyNumberFormat="1" applyFont="1" applyFill="1" applyBorder="1" applyAlignment="1" applyProtection="1">
      <alignment/>
      <protection/>
    </xf>
    <xf numFmtId="0" fontId="0" fillId="33" borderId="131" xfId="0" applyFont="1" applyFill="1" applyBorder="1" applyAlignment="1" applyProtection="1">
      <alignment/>
      <protection/>
    </xf>
    <xf numFmtId="227" fontId="1" fillId="37" borderId="215" xfId="0" applyNumberFormat="1" applyFont="1" applyFill="1" applyBorder="1" applyAlignment="1" applyProtection="1">
      <alignment horizontal="center"/>
      <protection locked="0"/>
    </xf>
    <xf numFmtId="0" fontId="0" fillId="33" borderId="13" xfId="0" applyFont="1" applyFill="1" applyBorder="1" applyAlignment="1">
      <alignment horizontal="fill"/>
    </xf>
    <xf numFmtId="3" fontId="0" fillId="46" borderId="13" xfId="0" applyNumberFormat="1" applyFont="1" applyFill="1" applyBorder="1" applyAlignment="1" applyProtection="1">
      <alignment/>
      <protection/>
    </xf>
    <xf numFmtId="10" fontId="0" fillId="47" borderId="13" xfId="0" applyNumberFormat="1" applyFont="1" applyFill="1" applyBorder="1" applyAlignment="1" applyProtection="1">
      <alignment/>
      <protection/>
    </xf>
    <xf numFmtId="0" fontId="0" fillId="33" borderId="131" xfId="0" applyFont="1" applyFill="1" applyBorder="1" applyAlignment="1" applyProtection="1">
      <alignment/>
      <protection/>
    </xf>
    <xf numFmtId="0" fontId="1" fillId="37" borderId="216" xfId="0" applyFont="1" applyFill="1" applyBorder="1" applyAlignment="1" applyProtection="1">
      <alignment horizontal="center"/>
      <protection locked="0"/>
    </xf>
    <xf numFmtId="0" fontId="0" fillId="33" borderId="131" xfId="0" applyFont="1" applyFill="1" applyBorder="1" applyAlignment="1" applyProtection="1">
      <alignment horizontal="fill"/>
      <protection/>
    </xf>
    <xf numFmtId="3" fontId="1" fillId="37" borderId="217" xfId="0" applyNumberFormat="1" applyFont="1" applyFill="1" applyBorder="1" applyAlignment="1" applyProtection="1">
      <alignment horizontal="center"/>
      <protection locked="0"/>
    </xf>
    <xf numFmtId="0" fontId="0" fillId="33" borderId="138" xfId="0" applyFont="1" applyFill="1" applyBorder="1" applyAlignment="1">
      <alignment/>
    </xf>
    <xf numFmtId="0" fontId="0" fillId="33" borderId="13" xfId="0" applyFont="1" applyFill="1" applyBorder="1" applyAlignment="1">
      <alignment/>
    </xf>
    <xf numFmtId="3" fontId="0" fillId="46" borderId="32" xfId="0" applyNumberFormat="1" applyFont="1" applyFill="1" applyBorder="1" applyAlignment="1" applyProtection="1">
      <alignment/>
      <protection/>
    </xf>
    <xf numFmtId="0" fontId="1" fillId="46" borderId="128" xfId="0" applyFont="1" applyFill="1" applyBorder="1" applyAlignment="1" applyProtection="1">
      <alignment horizontal="center"/>
      <protection locked="0"/>
    </xf>
    <xf numFmtId="0" fontId="0" fillId="37" borderId="13" xfId="0" applyFont="1" applyFill="1" applyBorder="1" applyAlignment="1" applyProtection="1">
      <alignment horizontal="fill"/>
      <protection locked="0"/>
    </xf>
    <xf numFmtId="3" fontId="37" fillId="48" borderId="128" xfId="0" applyNumberFormat="1" applyFont="1" applyFill="1" applyBorder="1" applyAlignment="1" applyProtection="1">
      <alignment/>
      <protection locked="0"/>
    </xf>
    <xf numFmtId="10" fontId="0" fillId="47" borderId="13" xfId="0" applyNumberFormat="1" applyFont="1" applyFill="1" applyBorder="1" applyAlignment="1" applyProtection="1">
      <alignment/>
      <protection/>
    </xf>
    <xf numFmtId="0" fontId="0" fillId="33" borderId="0" xfId="0" applyFont="1" applyFill="1" applyBorder="1" applyAlignment="1">
      <alignment/>
    </xf>
    <xf numFmtId="0" fontId="0" fillId="33" borderId="13" xfId="0" applyFont="1" applyFill="1" applyBorder="1" applyAlignment="1">
      <alignment/>
    </xf>
    <xf numFmtId="3" fontId="0" fillId="46" borderId="127" xfId="0" applyNumberFormat="1" applyFont="1" applyFill="1" applyBorder="1" applyAlignment="1" applyProtection="1">
      <alignment/>
      <protection/>
    </xf>
    <xf numFmtId="0" fontId="1" fillId="33" borderId="13" xfId="0" applyFont="1" applyFill="1" applyBorder="1" applyAlignment="1" applyProtection="1">
      <alignment horizontal="center"/>
      <protection locked="0"/>
    </xf>
    <xf numFmtId="3" fontId="0" fillId="33" borderId="137" xfId="0" applyNumberFormat="1" applyFont="1" applyFill="1" applyBorder="1" applyAlignment="1">
      <alignment/>
    </xf>
    <xf numFmtId="3" fontId="0" fillId="46" borderId="218" xfId="0" applyNumberFormat="1" applyFont="1" applyFill="1" applyBorder="1" applyAlignment="1" applyProtection="1">
      <alignment horizontal="left"/>
      <protection/>
    </xf>
    <xf numFmtId="3" fontId="0" fillId="46" borderId="219" xfId="0" applyNumberFormat="1" applyFont="1" applyFill="1" applyBorder="1" applyAlignment="1" applyProtection="1">
      <alignment horizontal="left"/>
      <protection/>
    </xf>
    <xf numFmtId="0" fontId="0" fillId="33" borderId="131" xfId="0" applyFont="1" applyFill="1" applyBorder="1" applyAlignment="1">
      <alignment/>
    </xf>
    <xf numFmtId="3" fontId="1" fillId="37" borderId="212" xfId="0" applyNumberFormat="1" applyFont="1" applyFill="1" applyBorder="1" applyAlignment="1" applyProtection="1">
      <alignment/>
      <protection locked="0"/>
    </xf>
    <xf numFmtId="3" fontId="0" fillId="33" borderId="131" xfId="0" applyNumberFormat="1" applyFont="1" applyFill="1" applyBorder="1" applyAlignment="1">
      <alignment/>
    </xf>
    <xf numFmtId="3" fontId="0" fillId="46" borderId="220" xfId="0" applyNumberFormat="1" applyFont="1" applyFill="1" applyBorder="1" applyAlignment="1" applyProtection="1">
      <alignment horizontal="left"/>
      <protection/>
    </xf>
    <xf numFmtId="3" fontId="0" fillId="46" borderId="221" xfId="0" applyNumberFormat="1" applyFont="1" applyFill="1" applyBorder="1" applyAlignment="1" applyProtection="1">
      <alignment horizontal="left"/>
      <protection/>
    </xf>
    <xf numFmtId="0" fontId="0" fillId="33" borderId="209" xfId="0" applyFont="1" applyFill="1" applyBorder="1" applyAlignment="1">
      <alignment/>
    </xf>
    <xf numFmtId="3" fontId="0" fillId="33" borderId="0" xfId="0" applyNumberFormat="1" applyFont="1" applyFill="1" applyBorder="1" applyAlignment="1">
      <alignment/>
    </xf>
    <xf numFmtId="3" fontId="1" fillId="33" borderId="0" xfId="0" applyNumberFormat="1" applyFont="1" applyFill="1" applyBorder="1" applyAlignment="1" applyProtection="1">
      <alignment horizontal="centerContinuous"/>
      <protection/>
    </xf>
    <xf numFmtId="0" fontId="0" fillId="33" borderId="0" xfId="0" applyFont="1" applyFill="1" applyBorder="1" applyAlignment="1" applyProtection="1">
      <alignment horizontal="centerContinuous"/>
      <protection/>
    </xf>
    <xf numFmtId="0" fontId="0" fillId="33" borderId="13" xfId="0" applyFont="1" applyFill="1" applyBorder="1" applyAlignment="1" applyProtection="1">
      <alignment horizontal="center"/>
      <protection/>
    </xf>
    <xf numFmtId="0" fontId="0" fillId="33" borderId="13" xfId="0" applyFont="1" applyFill="1" applyBorder="1" applyAlignment="1" applyProtection="1">
      <alignment/>
      <protection/>
    </xf>
    <xf numFmtId="4" fontId="0" fillId="33" borderId="13" xfId="0" applyNumberFormat="1" applyFont="1" applyFill="1" applyBorder="1" applyAlignment="1" applyProtection="1">
      <alignment/>
      <protection/>
    </xf>
    <xf numFmtId="2" fontId="0" fillId="33" borderId="13" xfId="0" applyNumberFormat="1" applyFont="1" applyFill="1" applyBorder="1" applyAlignment="1" applyProtection="1">
      <alignment/>
      <protection/>
    </xf>
    <xf numFmtId="57" fontId="0" fillId="33" borderId="13" xfId="0" applyNumberFormat="1" applyFont="1" applyFill="1" applyBorder="1" applyAlignment="1" applyProtection="1">
      <alignment/>
      <protection/>
    </xf>
    <xf numFmtId="5" fontId="0" fillId="33" borderId="13" xfId="0" applyNumberFormat="1" applyFont="1" applyFill="1" applyBorder="1" applyAlignment="1" applyProtection="1">
      <alignment/>
      <protection/>
    </xf>
    <xf numFmtId="0" fontId="0" fillId="33" borderId="128" xfId="0" applyFont="1" applyFill="1" applyBorder="1" applyAlignment="1">
      <alignment/>
    </xf>
    <xf numFmtId="179" fontId="0" fillId="33" borderId="128" xfId="0" applyNumberFormat="1" applyFont="1" applyFill="1" applyBorder="1" applyAlignment="1" applyProtection="1">
      <alignment/>
      <protection/>
    </xf>
    <xf numFmtId="179" fontId="0" fillId="33" borderId="13" xfId="0" applyNumberFormat="1" applyFont="1" applyFill="1" applyBorder="1" applyAlignment="1" applyProtection="1">
      <alignment horizontal="center" vertical="center"/>
      <protection/>
    </xf>
    <xf numFmtId="179" fontId="0" fillId="33" borderId="13" xfId="0" applyNumberFormat="1" applyFont="1" applyFill="1" applyBorder="1" applyAlignment="1" applyProtection="1">
      <alignment/>
      <protection/>
    </xf>
    <xf numFmtId="0" fontId="0" fillId="33" borderId="67" xfId="0" applyFont="1" applyFill="1" applyBorder="1" applyAlignment="1">
      <alignment/>
    </xf>
    <xf numFmtId="179" fontId="0" fillId="33" borderId="32" xfId="0" applyNumberFormat="1" applyFont="1" applyFill="1" applyBorder="1" applyAlignment="1" applyProtection="1">
      <alignment horizontal="center" vertical="center"/>
      <protection/>
    </xf>
    <xf numFmtId="0" fontId="35" fillId="37" borderId="13" xfId="0" applyFont="1" applyFill="1" applyBorder="1" applyAlignment="1" applyProtection="1">
      <alignment horizontal="center"/>
      <protection locked="0"/>
    </xf>
    <xf numFmtId="0" fontId="35" fillId="37" borderId="13" xfId="0" applyFont="1" applyFill="1" applyBorder="1" applyAlignment="1" applyProtection="1">
      <alignment horizontal="center"/>
      <protection/>
    </xf>
    <xf numFmtId="0" fontId="0" fillId="33" borderId="131" xfId="0" applyFont="1" applyFill="1" applyBorder="1" applyAlignment="1">
      <alignment/>
    </xf>
    <xf numFmtId="0" fontId="0" fillId="33" borderId="0" xfId="0" applyFont="1" applyFill="1" applyAlignment="1">
      <alignment/>
    </xf>
    <xf numFmtId="0" fontId="0" fillId="33" borderId="0" xfId="0" applyFont="1" applyFill="1" applyBorder="1" applyAlignment="1">
      <alignment/>
    </xf>
    <xf numFmtId="0" fontId="0" fillId="33" borderId="131" xfId="0" applyFont="1" applyFill="1" applyBorder="1" applyAlignment="1">
      <alignment/>
    </xf>
    <xf numFmtId="0" fontId="0" fillId="33" borderId="13" xfId="0" applyFont="1" applyFill="1" applyBorder="1" applyAlignment="1">
      <alignment/>
    </xf>
    <xf numFmtId="0" fontId="35" fillId="37" borderId="32" xfId="0" applyFont="1" applyFill="1" applyBorder="1" applyAlignment="1" applyProtection="1">
      <alignment horizontal="center"/>
      <protection locked="0"/>
    </xf>
    <xf numFmtId="0" fontId="35" fillId="37" borderId="67" xfId="0" applyFont="1" applyFill="1" applyBorder="1" applyAlignment="1" applyProtection="1">
      <alignment horizontal="center"/>
      <protection locked="0"/>
    </xf>
    <xf numFmtId="2" fontId="0" fillId="33" borderId="13" xfId="0" applyNumberFormat="1" applyFont="1" applyFill="1" applyBorder="1" applyAlignment="1">
      <alignment horizontal="center"/>
    </xf>
    <xf numFmtId="2" fontId="0" fillId="33" borderId="131" xfId="0" applyNumberFormat="1" applyFont="1" applyFill="1" applyBorder="1" applyAlignment="1">
      <alignment horizontal="center"/>
    </xf>
    <xf numFmtId="0" fontId="0" fillId="33" borderId="0" xfId="0" applyFont="1" applyFill="1" applyBorder="1" applyAlignment="1" applyProtection="1">
      <alignment/>
      <protection/>
    </xf>
    <xf numFmtId="4" fontId="0" fillId="33" borderId="13" xfId="0" applyNumberFormat="1" applyFont="1" applyFill="1" applyBorder="1" applyAlignment="1">
      <alignment horizontal="center"/>
    </xf>
    <xf numFmtId="3" fontId="0" fillId="33" borderId="128" xfId="0" applyNumberFormat="1" applyFont="1" applyFill="1" applyBorder="1" applyAlignment="1">
      <alignment/>
    </xf>
    <xf numFmtId="3" fontId="0" fillId="33" borderId="0" xfId="0" applyNumberFormat="1" applyFont="1" applyFill="1" applyBorder="1" applyAlignment="1">
      <alignment/>
    </xf>
    <xf numFmtId="0" fontId="35" fillId="37" borderId="222" xfId="0" applyFont="1" applyFill="1" applyBorder="1" applyAlignment="1" applyProtection="1">
      <alignment horizontal="center"/>
      <protection locked="0"/>
    </xf>
    <xf numFmtId="0" fontId="35" fillId="37" borderId="223" xfId="0" applyFont="1" applyFill="1" applyBorder="1" applyAlignment="1" applyProtection="1">
      <alignment horizontal="center"/>
      <protection locked="0"/>
    </xf>
    <xf numFmtId="0" fontId="35" fillId="37" borderId="224" xfId="0" applyFont="1" applyFill="1" applyBorder="1" applyAlignment="1" applyProtection="1">
      <alignment horizontal="center"/>
      <protection locked="0"/>
    </xf>
    <xf numFmtId="0" fontId="0" fillId="33" borderId="30" xfId="0" applyFont="1" applyFill="1" applyBorder="1" applyAlignment="1">
      <alignment/>
    </xf>
    <xf numFmtId="0" fontId="0" fillId="33" borderId="13" xfId="0" applyFont="1" applyFill="1" applyBorder="1" applyAlignment="1">
      <alignment/>
    </xf>
    <xf numFmtId="3" fontId="0" fillId="33" borderId="32" xfId="0" applyNumberFormat="1" applyFont="1" applyFill="1" applyBorder="1" applyAlignment="1" applyProtection="1">
      <alignment/>
      <protection/>
    </xf>
    <xf numFmtId="0" fontId="0" fillId="33" borderId="32" xfId="0" applyFont="1" applyFill="1" applyBorder="1" applyAlignment="1" applyProtection="1">
      <alignment horizontal="right"/>
      <protection/>
    </xf>
    <xf numFmtId="0" fontId="0" fillId="33" borderId="32" xfId="0" applyFont="1" applyFill="1" applyBorder="1" applyAlignment="1" applyProtection="1">
      <alignment/>
      <protection/>
    </xf>
    <xf numFmtId="0" fontId="0" fillId="33" borderId="0" xfId="0" applyFont="1" applyFill="1" applyBorder="1" applyAlignment="1">
      <alignment horizontal="fill"/>
    </xf>
    <xf numFmtId="0" fontId="0" fillId="33" borderId="0" xfId="0" applyNumberFormat="1" applyFont="1" applyFill="1" applyAlignment="1">
      <alignment/>
    </xf>
    <xf numFmtId="179" fontId="0" fillId="33" borderId="0" xfId="0" applyNumberFormat="1" applyFont="1" applyFill="1" applyAlignment="1">
      <alignment/>
    </xf>
    <xf numFmtId="0" fontId="0" fillId="33" borderId="0" xfId="0" applyFont="1" applyFill="1" applyAlignment="1">
      <alignment horizontal="centerContinuous"/>
    </xf>
    <xf numFmtId="188" fontId="0" fillId="33" borderId="0" xfId="0" applyNumberFormat="1" applyFont="1" applyFill="1" applyAlignment="1">
      <alignment/>
    </xf>
    <xf numFmtId="0" fontId="0" fillId="33" borderId="13" xfId="0" applyFont="1" applyFill="1" applyBorder="1" applyAlignment="1">
      <alignment horizontal="center"/>
    </xf>
    <xf numFmtId="0" fontId="0" fillId="0" borderId="0" xfId="0" applyFont="1" applyAlignment="1">
      <alignment/>
    </xf>
    <xf numFmtId="0" fontId="18" fillId="33" borderId="78" xfId="0" applyFont="1" applyFill="1" applyBorder="1" applyAlignment="1" applyProtection="1">
      <alignment horizontal="center" vertical="center"/>
      <protection/>
    </xf>
    <xf numFmtId="0" fontId="18" fillId="0" borderId="0" xfId="0" applyFont="1" applyBorder="1" applyAlignment="1" applyProtection="1">
      <alignment vertical="center"/>
      <protection/>
    </xf>
    <xf numFmtId="4" fontId="18" fillId="0" borderId="0" xfId="0" applyNumberFormat="1" applyFont="1" applyBorder="1" applyAlignment="1" applyProtection="1">
      <alignment horizontal="left" vertical="center"/>
      <protection/>
    </xf>
    <xf numFmtId="283" fontId="43" fillId="0" borderId="0" xfId="0" applyNumberFormat="1" applyFont="1" applyBorder="1" applyAlignment="1">
      <alignment horizontal="centerContinuous" vertical="center"/>
    </xf>
    <xf numFmtId="318" fontId="43" fillId="0" borderId="0" xfId="0" applyNumberFormat="1" applyFont="1" applyBorder="1" applyAlignment="1">
      <alignment horizontal="center" vertical="center"/>
    </xf>
    <xf numFmtId="0" fontId="42" fillId="0" borderId="0" xfId="0" applyNumberFormat="1" applyFont="1" applyAlignment="1">
      <alignment/>
    </xf>
    <xf numFmtId="4" fontId="43" fillId="0" borderId="0" xfId="0" applyNumberFormat="1" applyFont="1" applyBorder="1" applyAlignment="1" applyProtection="1">
      <alignment horizontal="centerContinuous" vertical="center"/>
      <protection/>
    </xf>
    <xf numFmtId="0" fontId="18" fillId="0" borderId="0" xfId="0" applyFont="1" applyBorder="1" applyAlignment="1">
      <alignment horizontal="centerContinuous" vertical="center"/>
    </xf>
    <xf numFmtId="318" fontId="18" fillId="0" borderId="0" xfId="0" applyNumberFormat="1" applyFont="1" applyBorder="1" applyAlignment="1">
      <alignment horizontal="center" vertical="center"/>
    </xf>
    <xf numFmtId="0" fontId="18" fillId="0" borderId="177" xfId="0" applyFont="1" applyBorder="1" applyAlignment="1" applyProtection="1">
      <alignment horizontal="center" vertical="center"/>
      <protection/>
    </xf>
    <xf numFmtId="0" fontId="18" fillId="33" borderId="225" xfId="0" applyFont="1" applyFill="1" applyBorder="1" applyAlignment="1" applyProtection="1">
      <alignment horizontal="center" vertical="center"/>
      <protection/>
    </xf>
    <xf numFmtId="297" fontId="18" fillId="0" borderId="226" xfId="0" applyNumberFormat="1" applyFont="1" applyBorder="1" applyAlignment="1" applyProtection="1">
      <alignment horizontal="left" vertical="center" indent="1"/>
      <protection/>
    </xf>
    <xf numFmtId="0" fontId="18" fillId="33" borderId="225" xfId="0" applyFont="1" applyFill="1" applyBorder="1" applyAlignment="1">
      <alignment horizontal="center" vertical="center"/>
    </xf>
    <xf numFmtId="0" fontId="18" fillId="0" borderId="227" xfId="0" applyFont="1" applyBorder="1" applyAlignment="1">
      <alignment horizontal="left" vertical="center" indent="1"/>
    </xf>
    <xf numFmtId="318" fontId="18" fillId="0" borderId="227" xfId="0" applyNumberFormat="1" applyFont="1" applyBorder="1" applyAlignment="1">
      <alignment horizontal="center" vertical="center"/>
    </xf>
    <xf numFmtId="0" fontId="18" fillId="0" borderId="182" xfId="0" applyFont="1" applyBorder="1" applyAlignment="1" applyProtection="1">
      <alignment horizontal="center" vertical="center"/>
      <protection/>
    </xf>
    <xf numFmtId="0" fontId="18" fillId="0" borderId="79" xfId="0" applyFont="1" applyBorder="1" applyAlignment="1" applyProtection="1">
      <alignment horizontal="left" vertical="center" indent="1"/>
      <protection/>
    </xf>
    <xf numFmtId="0" fontId="18" fillId="33" borderId="78" xfId="0" applyFont="1" applyFill="1" applyBorder="1" applyAlignment="1">
      <alignment horizontal="center" vertical="center"/>
    </xf>
    <xf numFmtId="212" fontId="18" fillId="0" borderId="80" xfId="0" applyNumberFormat="1" applyFont="1" applyBorder="1" applyAlignment="1">
      <alignment horizontal="left" vertical="center" indent="1"/>
    </xf>
    <xf numFmtId="318" fontId="18" fillId="0" borderId="80" xfId="0" applyNumberFormat="1" applyFont="1" applyBorder="1" applyAlignment="1">
      <alignment horizontal="center" vertical="center"/>
    </xf>
    <xf numFmtId="0" fontId="18" fillId="0" borderId="182" xfId="0" applyFont="1" applyBorder="1" applyAlignment="1" applyProtection="1">
      <alignment vertical="center"/>
      <protection/>
    </xf>
    <xf numFmtId="284" fontId="18" fillId="0" borderId="79" xfId="0" applyNumberFormat="1" applyFont="1" applyBorder="1" applyAlignment="1" applyProtection="1">
      <alignment horizontal="left" vertical="center" indent="1"/>
      <protection/>
    </xf>
    <xf numFmtId="0" fontId="18" fillId="0" borderId="80" xfId="0" applyFont="1" applyBorder="1" applyAlignment="1" applyProtection="1">
      <alignment horizontal="left" vertical="center" indent="1"/>
      <protection/>
    </xf>
    <xf numFmtId="318" fontId="18" fillId="0" borderId="80" xfId="0" applyNumberFormat="1" applyFont="1" applyBorder="1" applyAlignment="1" applyProtection="1">
      <alignment horizontal="center" vertical="center"/>
      <protection/>
    </xf>
    <xf numFmtId="233" fontId="18" fillId="0" borderId="79" xfId="0" applyNumberFormat="1" applyFont="1" applyBorder="1" applyAlignment="1" applyProtection="1">
      <alignment horizontal="left" vertical="center" indent="1"/>
      <protection/>
    </xf>
    <xf numFmtId="318" fontId="18" fillId="0" borderId="80" xfId="0" applyNumberFormat="1" applyFont="1" applyBorder="1" applyAlignment="1" applyProtection="1">
      <alignment horizontal="center" vertical="center" wrapText="1" shrinkToFit="1"/>
      <protection/>
    </xf>
    <xf numFmtId="0" fontId="18" fillId="33" borderId="160" xfId="0" applyFont="1" applyFill="1" applyBorder="1" applyAlignment="1" applyProtection="1">
      <alignment horizontal="center" vertical="center"/>
      <protection/>
    </xf>
    <xf numFmtId="0" fontId="18" fillId="33" borderId="65" xfId="0" applyFont="1" applyFill="1" applyBorder="1" applyAlignment="1" applyProtection="1">
      <alignment horizontal="center" vertical="center"/>
      <protection/>
    </xf>
    <xf numFmtId="0" fontId="18" fillId="0" borderId="74" xfId="0" applyFont="1" applyBorder="1" applyAlignment="1" applyProtection="1">
      <alignment horizontal="left" vertical="center" indent="1"/>
      <protection/>
    </xf>
    <xf numFmtId="0" fontId="18" fillId="33" borderId="51" xfId="0" applyFont="1" applyFill="1" applyBorder="1" applyAlignment="1" applyProtection="1">
      <alignment horizontal="center" vertical="center"/>
      <protection/>
    </xf>
    <xf numFmtId="318" fontId="18" fillId="0" borderId="52" xfId="0" applyNumberFormat="1" applyFont="1" applyBorder="1" applyAlignment="1" applyProtection="1">
      <alignment horizontal="center" vertical="center" wrapText="1" shrinkToFit="1"/>
      <protection/>
    </xf>
    <xf numFmtId="0" fontId="18" fillId="0" borderId="185" xfId="0" applyFont="1" applyBorder="1" applyAlignment="1" applyProtection="1">
      <alignment horizontal="center" vertical="center"/>
      <protection/>
    </xf>
    <xf numFmtId="0" fontId="18" fillId="33" borderId="68" xfId="0" applyFont="1" applyFill="1" applyBorder="1" applyAlignment="1" applyProtection="1">
      <alignment horizontal="center" vertical="center"/>
      <protection/>
    </xf>
    <xf numFmtId="310" fontId="18" fillId="0" borderId="69" xfId="0" applyNumberFormat="1" applyFont="1" applyBorder="1" applyAlignment="1" applyProtection="1">
      <alignment horizontal="left" vertical="center" indent="1"/>
      <protection/>
    </xf>
    <xf numFmtId="272" fontId="18" fillId="0" borderId="71" xfId="0" applyNumberFormat="1" applyFont="1" applyBorder="1" applyAlignment="1" applyProtection="1">
      <alignment horizontal="left" vertical="center" wrapText="1" indent="1" shrinkToFit="1"/>
      <protection/>
    </xf>
    <xf numFmtId="0" fontId="18" fillId="0" borderId="194" xfId="0" applyFont="1" applyBorder="1" applyAlignment="1" applyProtection="1">
      <alignment horizontal="left" vertical="center" indent="1"/>
      <protection/>
    </xf>
    <xf numFmtId="272" fontId="18" fillId="0" borderId="175" xfId="0" applyNumberFormat="1" applyFont="1" applyBorder="1" applyAlignment="1" applyProtection="1">
      <alignment horizontal="left" vertical="center" wrapText="1" indent="1" shrinkToFit="1"/>
      <protection/>
    </xf>
    <xf numFmtId="0" fontId="18" fillId="0" borderId="69" xfId="0" applyFont="1" applyBorder="1" applyAlignment="1" applyProtection="1">
      <alignment horizontal="left" vertical="center" indent="1"/>
      <protection/>
    </xf>
    <xf numFmtId="0" fontId="18" fillId="0" borderId="71" xfId="0" applyFont="1" applyBorder="1" applyAlignment="1" applyProtection="1">
      <alignment horizontal="left" vertical="center" indent="1"/>
      <protection/>
    </xf>
    <xf numFmtId="318" fontId="18" fillId="0" borderId="71" xfId="0" applyNumberFormat="1" applyFont="1" applyBorder="1" applyAlignment="1" applyProtection="1">
      <alignment horizontal="center" vertical="center"/>
      <protection/>
    </xf>
    <xf numFmtId="0" fontId="18" fillId="33" borderId="54" xfId="0" applyFont="1" applyFill="1" applyBorder="1" applyAlignment="1" applyProtection="1">
      <alignment horizontal="center" vertical="center"/>
      <protection/>
    </xf>
    <xf numFmtId="284" fontId="18" fillId="0" borderId="55" xfId="0" applyNumberFormat="1" applyFont="1" applyBorder="1" applyAlignment="1" applyProtection="1">
      <alignment horizontal="left" vertical="center" indent="1"/>
      <protection/>
    </xf>
    <xf numFmtId="0" fontId="18" fillId="0" borderId="56" xfId="0" applyFont="1" applyBorder="1" applyAlignment="1" applyProtection="1">
      <alignment horizontal="left" vertical="center" indent="1"/>
      <protection/>
    </xf>
    <xf numFmtId="318" fontId="18" fillId="0" borderId="56" xfId="0" applyNumberFormat="1" applyFont="1" applyBorder="1" applyAlignment="1" applyProtection="1">
      <alignment horizontal="center" vertical="center"/>
      <protection/>
    </xf>
    <xf numFmtId="0" fontId="18" fillId="0" borderId="55" xfId="0" applyFont="1" applyBorder="1" applyAlignment="1" applyProtection="1">
      <alignment horizontal="left" vertical="center" indent="1"/>
      <protection/>
    </xf>
    <xf numFmtId="0" fontId="18" fillId="0" borderId="92" xfId="0" applyFont="1" applyBorder="1" applyAlignment="1" applyProtection="1">
      <alignment vertical="center"/>
      <protection/>
    </xf>
    <xf numFmtId="0" fontId="18" fillId="0" borderId="93" xfId="0" applyFont="1" applyBorder="1" applyAlignment="1" applyProtection="1">
      <alignment vertical="center"/>
      <protection/>
    </xf>
    <xf numFmtId="318" fontId="18" fillId="0" borderId="93" xfId="0" applyNumberFormat="1" applyFont="1" applyBorder="1" applyAlignment="1" applyProtection="1">
      <alignment horizontal="center" vertical="center"/>
      <protection/>
    </xf>
    <xf numFmtId="0" fontId="18" fillId="0" borderId="193" xfId="0" applyFont="1" applyBorder="1" applyAlignment="1" applyProtection="1">
      <alignment vertical="center"/>
      <protection/>
    </xf>
    <xf numFmtId="0" fontId="18" fillId="0" borderId="158" xfId="0" applyFont="1" applyBorder="1" applyAlignment="1" applyProtection="1">
      <alignment vertical="center"/>
      <protection/>
    </xf>
    <xf numFmtId="318" fontId="18" fillId="0" borderId="158" xfId="0" applyNumberFormat="1" applyFont="1" applyBorder="1" applyAlignment="1" applyProtection="1">
      <alignment horizontal="center" vertical="center"/>
      <protection/>
    </xf>
    <xf numFmtId="0" fontId="18" fillId="33" borderId="25" xfId="0" applyFont="1" applyFill="1" applyBorder="1" applyAlignment="1" applyProtection="1">
      <alignment horizontal="center" vertical="center"/>
      <protection/>
    </xf>
    <xf numFmtId="0" fontId="18" fillId="0" borderId="42" xfId="0" applyFont="1" applyBorder="1" applyAlignment="1" applyProtection="1">
      <alignment horizontal="left" vertical="center" indent="1"/>
      <protection/>
    </xf>
    <xf numFmtId="0" fontId="18" fillId="0" borderId="43" xfId="0" applyFont="1" applyBorder="1" applyAlignment="1" applyProtection="1">
      <alignment vertical="center"/>
      <protection/>
    </xf>
    <xf numFmtId="0" fontId="18" fillId="0" borderId="44" xfId="0" applyFont="1" applyBorder="1" applyAlignment="1" applyProtection="1">
      <alignment vertical="center"/>
      <protection/>
    </xf>
    <xf numFmtId="318" fontId="18" fillId="0" borderId="44" xfId="0" applyNumberFormat="1" applyFont="1" applyBorder="1" applyAlignment="1" applyProtection="1">
      <alignment horizontal="center" vertical="center"/>
      <protection/>
    </xf>
    <xf numFmtId="0" fontId="18" fillId="0" borderId="49" xfId="0" applyFont="1" applyBorder="1" applyAlignment="1" applyProtection="1">
      <alignment horizontal="left" vertical="center" indent="1"/>
      <protection/>
    </xf>
    <xf numFmtId="0" fontId="18" fillId="0" borderId="34" xfId="0" applyFont="1" applyBorder="1" applyAlignment="1" applyProtection="1">
      <alignment vertical="center"/>
      <protection/>
    </xf>
    <xf numFmtId="0" fontId="18" fillId="0" borderId="166" xfId="0" applyFont="1" applyBorder="1" applyAlignment="1" applyProtection="1">
      <alignment vertical="center"/>
      <protection/>
    </xf>
    <xf numFmtId="318" fontId="18" fillId="0" borderId="166" xfId="0" applyNumberFormat="1" applyFont="1" applyBorder="1" applyAlignment="1" applyProtection="1">
      <alignment horizontal="center" vertical="center"/>
      <protection/>
    </xf>
    <xf numFmtId="0" fontId="18" fillId="0" borderId="69" xfId="0" applyFont="1" applyBorder="1" applyAlignment="1" applyProtection="1">
      <alignment horizontal="center" vertical="center"/>
      <protection/>
    </xf>
    <xf numFmtId="0" fontId="18" fillId="0" borderId="71" xfId="0" applyFont="1" applyBorder="1" applyAlignment="1" applyProtection="1">
      <alignment horizontal="center" vertical="center"/>
      <protection/>
    </xf>
    <xf numFmtId="0" fontId="18" fillId="0" borderId="42" xfId="0" applyFont="1" applyBorder="1" applyAlignment="1" applyProtection="1">
      <alignment horizontal="center" vertical="center"/>
      <protection/>
    </xf>
    <xf numFmtId="0" fontId="18" fillId="0" borderId="26" xfId="0" applyFont="1" applyBorder="1" applyAlignment="1" applyProtection="1">
      <alignment horizontal="center" vertical="center"/>
      <protection/>
    </xf>
    <xf numFmtId="318" fontId="18" fillId="0" borderId="26" xfId="0" applyNumberFormat="1" applyFont="1" applyBorder="1" applyAlignment="1" applyProtection="1">
      <alignment horizontal="center" vertical="center"/>
      <protection/>
    </xf>
    <xf numFmtId="3" fontId="18" fillId="33" borderId="54" xfId="0" applyNumberFormat="1" applyFont="1" applyFill="1" applyBorder="1" applyAlignment="1" applyProtection="1">
      <alignment horizontal="center" vertical="center"/>
      <protection/>
    </xf>
    <xf numFmtId="0" fontId="18" fillId="0" borderId="25" xfId="0" applyNumberFormat="1" applyFont="1" applyBorder="1" applyAlignment="1">
      <alignment horizontal="center" vertical="center"/>
    </xf>
    <xf numFmtId="0" fontId="18" fillId="0" borderId="158" xfId="0" applyFont="1" applyBorder="1" applyAlignment="1" applyProtection="1">
      <alignment horizontal="center" vertical="center"/>
      <protection/>
    </xf>
    <xf numFmtId="3" fontId="18" fillId="33" borderId="65" xfId="0" applyNumberFormat="1" applyFont="1" applyFill="1" applyBorder="1" applyAlignment="1" applyProtection="1">
      <alignment horizontal="center" vertical="center"/>
      <protection/>
    </xf>
    <xf numFmtId="0" fontId="18" fillId="0" borderId="65" xfId="0" applyNumberFormat="1" applyFont="1" applyBorder="1" applyAlignment="1">
      <alignment horizontal="center" vertical="center"/>
    </xf>
    <xf numFmtId="0" fontId="18" fillId="0" borderId="65" xfId="0" applyFont="1" applyBorder="1" applyAlignment="1" applyProtection="1">
      <alignment horizontal="centerContinuous" vertical="center"/>
      <protection/>
    </xf>
    <xf numFmtId="0" fontId="18" fillId="0" borderId="92" xfId="0" applyFont="1" applyBorder="1" applyAlignment="1" applyProtection="1">
      <alignment horizontal="centerContinuous" vertical="center"/>
      <protection/>
    </xf>
    <xf numFmtId="0" fontId="18" fillId="0" borderId="193" xfId="0" applyFont="1" applyBorder="1" applyAlignment="1" applyProtection="1">
      <alignment horizontal="centerContinuous" vertical="center"/>
      <protection/>
    </xf>
    <xf numFmtId="205" fontId="18" fillId="0" borderId="55" xfId="0" applyNumberFormat="1" applyFont="1" applyBorder="1" applyAlignment="1" applyProtection="1">
      <alignment horizontal="center" vertical="center"/>
      <protection/>
    </xf>
    <xf numFmtId="205" fontId="18" fillId="33" borderId="25" xfId="0" applyNumberFormat="1" applyFont="1" applyFill="1" applyBorder="1" applyAlignment="1" applyProtection="1">
      <alignment horizontal="center" vertical="center"/>
      <protection/>
    </xf>
    <xf numFmtId="205" fontId="18" fillId="0" borderId="26" xfId="0" applyNumberFormat="1" applyFont="1" applyBorder="1" applyAlignment="1" applyProtection="1">
      <alignment horizontal="center" vertical="center"/>
      <protection/>
    </xf>
    <xf numFmtId="202" fontId="18" fillId="0" borderId="26" xfId="0" applyNumberFormat="1" applyFont="1" applyBorder="1" applyAlignment="1" applyProtection="1">
      <alignment horizontal="center" vertical="center"/>
      <protection/>
    </xf>
    <xf numFmtId="0" fontId="18" fillId="33" borderId="25" xfId="0" applyFont="1" applyFill="1" applyBorder="1" applyAlignment="1">
      <alignment horizontal="center" vertical="center"/>
    </xf>
    <xf numFmtId="205" fontId="18" fillId="0" borderId="42" xfId="0" applyNumberFormat="1" applyFont="1" applyBorder="1" applyAlignment="1">
      <alignment horizontal="center" vertical="center"/>
    </xf>
    <xf numFmtId="0" fontId="18" fillId="33" borderId="54" xfId="0" applyFont="1" applyFill="1" applyBorder="1" applyAlignment="1" applyProtection="1">
      <alignment horizontal="centerContinuous" vertical="center"/>
      <protection/>
    </xf>
    <xf numFmtId="205" fontId="18" fillId="0" borderId="56" xfId="0" applyNumberFormat="1" applyFont="1" applyBorder="1" applyAlignment="1" applyProtection="1">
      <alignment horizontal="center" vertical="center"/>
      <protection/>
    </xf>
    <xf numFmtId="202" fontId="18" fillId="0" borderId="56" xfId="0" applyNumberFormat="1" applyFont="1" applyBorder="1" applyAlignment="1" applyProtection="1">
      <alignment horizontal="center" vertical="center"/>
      <protection/>
    </xf>
    <xf numFmtId="0" fontId="18" fillId="0" borderId="55" xfId="0" applyFont="1" applyBorder="1" applyAlignment="1" applyProtection="1">
      <alignment horizontal="center" vertical="center"/>
      <protection/>
    </xf>
    <xf numFmtId="0" fontId="18" fillId="33" borderId="65" xfId="0" applyFont="1" applyFill="1" applyBorder="1" applyAlignment="1" applyProtection="1">
      <alignment horizontal="centerContinuous" vertical="center"/>
      <protection/>
    </xf>
    <xf numFmtId="0" fontId="18" fillId="0" borderId="166" xfId="0" applyFont="1" applyBorder="1" applyAlignment="1" applyProtection="1">
      <alignment horizontal="center" vertical="center" shrinkToFit="1"/>
      <protection/>
    </xf>
    <xf numFmtId="325" fontId="18" fillId="0" borderId="166" xfId="0" applyNumberFormat="1" applyFont="1" applyBorder="1" applyAlignment="1" applyProtection="1">
      <alignment horizontal="center" vertical="center" shrinkToFit="1"/>
      <protection/>
    </xf>
    <xf numFmtId="0" fontId="18" fillId="0" borderId="93" xfId="0" applyFont="1" applyBorder="1" applyAlignment="1" applyProtection="1">
      <alignment horizontal="centerContinuous" vertical="center"/>
      <protection/>
    </xf>
    <xf numFmtId="0" fontId="18" fillId="0" borderId="158" xfId="0" applyFont="1" applyBorder="1" applyAlignment="1" applyProtection="1">
      <alignment horizontal="centerContinuous" vertical="center"/>
      <protection/>
    </xf>
    <xf numFmtId="0" fontId="18" fillId="0" borderId="44" xfId="0" applyFont="1" applyBorder="1" applyAlignment="1" applyProtection="1">
      <alignment horizontal="centerContinuous" vertical="center"/>
      <protection/>
    </xf>
    <xf numFmtId="0" fontId="42" fillId="0" borderId="182" xfId="0" applyNumberFormat="1" applyFont="1" applyBorder="1" applyAlignment="1">
      <alignment/>
    </xf>
    <xf numFmtId="0" fontId="18" fillId="0" borderId="47" xfId="0" applyFont="1" applyBorder="1" applyAlignment="1" applyProtection="1">
      <alignment horizontal="center" vertical="center"/>
      <protection/>
    </xf>
    <xf numFmtId="0" fontId="42" fillId="33" borderId="51" xfId="0" applyNumberFormat="1" applyFont="1" applyFill="1" applyBorder="1" applyAlignment="1">
      <alignment/>
    </xf>
    <xf numFmtId="0" fontId="18" fillId="0" borderId="0" xfId="0" applyFont="1" applyBorder="1" applyAlignment="1" applyProtection="1">
      <alignment/>
      <protection/>
    </xf>
    <xf numFmtId="318" fontId="18" fillId="0" borderId="0" xfId="0" applyNumberFormat="1" applyFont="1" applyBorder="1" applyAlignment="1" applyProtection="1">
      <alignment horizontal="center"/>
      <protection/>
    </xf>
    <xf numFmtId="0" fontId="42" fillId="0" borderId="0" xfId="0" applyNumberFormat="1" applyFont="1" applyAlignment="1">
      <alignment horizontal="left"/>
    </xf>
    <xf numFmtId="0" fontId="42" fillId="0" borderId="0" xfId="0" applyNumberFormat="1" applyFont="1" applyAlignment="1">
      <alignment horizontal="center"/>
    </xf>
    <xf numFmtId="318" fontId="42" fillId="0" borderId="0" xfId="0" applyNumberFormat="1" applyFont="1" applyAlignment="1">
      <alignment horizontal="center"/>
    </xf>
    <xf numFmtId="0" fontId="42" fillId="33" borderId="13" xfId="0" applyNumberFormat="1" applyFont="1" applyFill="1" applyBorder="1" applyAlignment="1">
      <alignment/>
    </xf>
    <xf numFmtId="0" fontId="42" fillId="33" borderId="13" xfId="0" applyNumberFormat="1" applyFont="1" applyFill="1" applyBorder="1" applyAlignment="1">
      <alignment horizontal="left"/>
    </xf>
    <xf numFmtId="0" fontId="42" fillId="33" borderId="13" xfId="0" applyNumberFormat="1" applyFont="1" applyFill="1" applyBorder="1" applyAlignment="1">
      <alignment horizontal="center"/>
    </xf>
    <xf numFmtId="208" fontId="43" fillId="0" borderId="182" xfId="0" applyNumberFormat="1" applyFont="1" applyBorder="1" applyAlignment="1">
      <alignment horizontal="right"/>
    </xf>
    <xf numFmtId="3" fontId="18" fillId="0" borderId="228" xfId="0" applyNumberFormat="1" applyFont="1" applyFill="1" applyBorder="1" applyAlignment="1">
      <alignment horizontal="center"/>
    </xf>
    <xf numFmtId="0" fontId="18" fillId="0" borderId="34" xfId="0" applyFont="1" applyFill="1" applyBorder="1" applyAlignment="1">
      <alignment horizontal="center"/>
    </xf>
    <xf numFmtId="0" fontId="18" fillId="0" borderId="33" xfId="0" applyFont="1" applyFill="1" applyBorder="1" applyAlignment="1">
      <alignment horizontal="center"/>
    </xf>
    <xf numFmtId="0" fontId="18" fillId="0" borderId="194" xfId="0" applyFont="1" applyFill="1" applyBorder="1" applyAlignment="1">
      <alignment horizontal="center"/>
    </xf>
    <xf numFmtId="3" fontId="18" fillId="0" borderId="34" xfId="0" applyNumberFormat="1" applyFont="1" applyFill="1" applyBorder="1" applyAlignment="1">
      <alignment horizontal="center"/>
    </xf>
    <xf numFmtId="3" fontId="18" fillId="0" borderId="173" xfId="0" applyNumberFormat="1" applyFont="1" applyFill="1" applyBorder="1" applyAlignment="1">
      <alignment horizontal="center"/>
    </xf>
    <xf numFmtId="0" fontId="18" fillId="0" borderId="173" xfId="0" applyFont="1" applyFill="1" applyBorder="1" applyAlignment="1">
      <alignment horizontal="center"/>
    </xf>
    <xf numFmtId="3" fontId="18" fillId="0" borderId="194" xfId="0" applyNumberFormat="1" applyFont="1" applyFill="1" applyBorder="1" applyAlignment="1">
      <alignment horizontal="center"/>
    </xf>
    <xf numFmtId="0" fontId="18" fillId="45" borderId="194" xfId="0" applyFont="1" applyFill="1" applyBorder="1" applyAlignment="1">
      <alignment horizontal="center"/>
    </xf>
    <xf numFmtId="3" fontId="18" fillId="45" borderId="34" xfId="0" applyNumberFormat="1" applyFont="1" applyFill="1" applyBorder="1" applyAlignment="1">
      <alignment horizontal="center"/>
    </xf>
    <xf numFmtId="3" fontId="18" fillId="45" borderId="173" xfId="0" applyNumberFormat="1" applyFont="1" applyFill="1" applyBorder="1" applyAlignment="1">
      <alignment horizontal="center"/>
    </xf>
    <xf numFmtId="0" fontId="18" fillId="45" borderId="0" xfId="0" applyFont="1" applyFill="1" applyBorder="1" applyAlignment="1">
      <alignment/>
    </xf>
    <xf numFmtId="0" fontId="18" fillId="45" borderId="0" xfId="0" applyFont="1" applyFill="1" applyBorder="1" applyAlignment="1">
      <alignment horizontal="center"/>
    </xf>
    <xf numFmtId="3" fontId="18" fillId="45" borderId="228" xfId="0" applyNumberFormat="1" applyFont="1" applyFill="1" applyBorder="1" applyAlignment="1">
      <alignment horizontal="center"/>
    </xf>
    <xf numFmtId="0" fontId="18" fillId="45" borderId="34" xfId="0" applyFont="1" applyFill="1" applyBorder="1" applyAlignment="1">
      <alignment horizontal="center"/>
    </xf>
    <xf numFmtId="3" fontId="18" fillId="45" borderId="194" xfId="0" applyNumberFormat="1" applyFont="1" applyFill="1" applyBorder="1" applyAlignment="1">
      <alignment horizontal="center"/>
    </xf>
    <xf numFmtId="0" fontId="18" fillId="45" borderId="173" xfId="0" applyFont="1" applyFill="1" applyBorder="1" applyAlignment="1">
      <alignment horizontal="center"/>
    </xf>
    <xf numFmtId="0" fontId="18" fillId="0" borderId="0" xfId="0" applyFont="1" applyFill="1" applyBorder="1" applyAlignment="1">
      <alignment/>
    </xf>
    <xf numFmtId="183" fontId="18" fillId="0" borderId="127" xfId="0" applyNumberFormat="1" applyFont="1" applyBorder="1" applyAlignment="1">
      <alignment/>
    </xf>
    <xf numFmtId="10" fontId="18" fillId="0" borderId="127" xfId="0" applyNumberFormat="1" applyFont="1" applyBorder="1" applyAlignment="1">
      <alignment/>
    </xf>
    <xf numFmtId="0" fontId="18" fillId="0" borderId="127" xfId="0" applyFont="1" applyBorder="1" applyAlignment="1">
      <alignment/>
    </xf>
    <xf numFmtId="3" fontId="18" fillId="0" borderId="127" xfId="0" applyNumberFormat="1" applyFont="1" applyBorder="1" applyAlignment="1">
      <alignment/>
    </xf>
    <xf numFmtId="0" fontId="18" fillId="0" borderId="127" xfId="0" applyFont="1" applyBorder="1" applyAlignment="1">
      <alignment horizontal="center"/>
    </xf>
    <xf numFmtId="0" fontId="18" fillId="0" borderId="33" xfId="0" applyFont="1" applyBorder="1" applyAlignment="1">
      <alignment/>
    </xf>
    <xf numFmtId="0" fontId="18" fillId="0" borderId="138" xfId="0" applyFont="1" applyBorder="1" applyAlignment="1">
      <alignment/>
    </xf>
    <xf numFmtId="297" fontId="18" fillId="0" borderId="139" xfId="0" applyNumberFormat="1" applyFont="1" applyBorder="1" applyAlignment="1">
      <alignment/>
    </xf>
    <xf numFmtId="10" fontId="18" fillId="0" borderId="139" xfId="0" applyNumberFormat="1" applyFont="1" applyBorder="1" applyAlignment="1">
      <alignment/>
    </xf>
    <xf numFmtId="3" fontId="18" fillId="0" borderId="139" xfId="0" applyNumberFormat="1" applyFont="1" applyBorder="1" applyAlignment="1">
      <alignment/>
    </xf>
    <xf numFmtId="3" fontId="18" fillId="0" borderId="139" xfId="0" applyNumberFormat="1" applyFont="1" applyBorder="1" applyAlignment="1">
      <alignment/>
    </xf>
    <xf numFmtId="0" fontId="18" fillId="0" borderId="174" xfId="0" applyFont="1" applyBorder="1" applyAlignment="1">
      <alignment horizontal="center"/>
    </xf>
    <xf numFmtId="3" fontId="18" fillId="0" borderId="139" xfId="0" applyNumberFormat="1" applyFont="1" applyBorder="1" applyAlignment="1">
      <alignment horizontal="centerContinuous"/>
    </xf>
    <xf numFmtId="3" fontId="18" fillId="0" borderId="0" xfId="0" applyNumberFormat="1" applyFont="1" applyAlignment="1">
      <alignment horizontal="centerContinuous"/>
    </xf>
    <xf numFmtId="3" fontId="18" fillId="0" borderId="140" xfId="0" applyNumberFormat="1" applyFont="1" applyBorder="1" applyAlignment="1">
      <alignment horizontal="centerContinuous"/>
    </xf>
    <xf numFmtId="297" fontId="18" fillId="0" borderId="127" xfId="0" applyNumberFormat="1" applyFont="1" applyBorder="1" applyAlignment="1">
      <alignment/>
    </xf>
    <xf numFmtId="297" fontId="18" fillId="0" borderId="67" xfId="0" applyNumberFormat="1" applyFont="1" applyBorder="1" applyAlignment="1">
      <alignment/>
    </xf>
    <xf numFmtId="10" fontId="18" fillId="0" borderId="67" xfId="0" applyNumberFormat="1" applyFont="1" applyBorder="1" applyAlignment="1">
      <alignment/>
    </xf>
    <xf numFmtId="0" fontId="18" fillId="0" borderId="67" xfId="0" applyFont="1" applyBorder="1" applyAlignment="1">
      <alignment/>
    </xf>
    <xf numFmtId="3" fontId="18" fillId="0" borderId="67" xfId="0" applyNumberFormat="1" applyFont="1" applyBorder="1" applyAlignment="1">
      <alignment horizontal="centerContinuous"/>
    </xf>
    <xf numFmtId="3" fontId="18" fillId="0" borderId="34" xfId="0" applyNumberFormat="1" applyFont="1" applyBorder="1" applyAlignment="1">
      <alignment horizontal="centerContinuous"/>
    </xf>
    <xf numFmtId="3" fontId="18" fillId="0" borderId="31" xfId="0" applyNumberFormat="1" applyFont="1" applyBorder="1" applyAlignment="1">
      <alignment horizontal="centerContinuous"/>
    </xf>
    <xf numFmtId="0" fontId="18" fillId="0" borderId="139" xfId="0" applyFont="1" applyBorder="1" applyAlignment="1">
      <alignment/>
    </xf>
    <xf numFmtId="208" fontId="18" fillId="0" borderId="0" xfId="0" applyNumberFormat="1" applyFont="1" applyBorder="1" applyAlignment="1">
      <alignment horizontal="centerContinuous"/>
    </xf>
    <xf numFmtId="3" fontId="18" fillId="0" borderId="0" xfId="0" applyNumberFormat="1" applyFont="1" applyBorder="1" applyAlignment="1">
      <alignment horizontal="centerContinuous"/>
    </xf>
    <xf numFmtId="208" fontId="18" fillId="0" borderId="33" xfId="0" applyNumberFormat="1" applyFont="1" applyBorder="1" applyAlignment="1">
      <alignment horizontal="centerContinuous"/>
    </xf>
    <xf numFmtId="3" fontId="18" fillId="0" borderId="138" xfId="0" applyNumberFormat="1" applyFont="1" applyBorder="1" applyAlignment="1">
      <alignment horizontal="centerContinuous"/>
    </xf>
    <xf numFmtId="180" fontId="18" fillId="0" borderId="0" xfId="0" applyNumberFormat="1" applyFont="1" applyBorder="1" applyAlignment="1">
      <alignment horizontal="center"/>
    </xf>
    <xf numFmtId="0" fontId="18" fillId="0" borderId="0" xfId="0" applyFont="1" applyBorder="1" applyAlignment="1">
      <alignment/>
    </xf>
    <xf numFmtId="0" fontId="18" fillId="0" borderId="140" xfId="0" applyFont="1" applyBorder="1" applyAlignment="1">
      <alignment horizontal="centerContinuous"/>
    </xf>
    <xf numFmtId="208" fontId="18" fillId="0" borderId="34" xfId="0" applyNumberFormat="1" applyFont="1" applyBorder="1" applyAlignment="1">
      <alignment horizontal="centerContinuous"/>
    </xf>
    <xf numFmtId="0" fontId="18" fillId="0" borderId="34" xfId="0" applyFont="1" applyBorder="1" applyAlignment="1">
      <alignment horizontal="right"/>
    </xf>
    <xf numFmtId="3" fontId="18" fillId="0" borderId="34" xfId="0" applyNumberFormat="1" applyFont="1" applyBorder="1" applyAlignment="1">
      <alignment/>
    </xf>
    <xf numFmtId="0" fontId="18" fillId="0" borderId="31" xfId="0" applyFont="1" applyBorder="1" applyAlignment="1">
      <alignment horizontal="center"/>
    </xf>
    <xf numFmtId="0" fontId="18" fillId="0" borderId="127" xfId="0" applyFont="1" applyFill="1" applyBorder="1" applyAlignment="1">
      <alignment horizontal="center"/>
    </xf>
    <xf numFmtId="0" fontId="18" fillId="0" borderId="139" xfId="0" applyFont="1" applyFill="1" applyBorder="1" applyAlignment="1">
      <alignment horizontal="center"/>
    </xf>
    <xf numFmtId="3" fontId="18" fillId="0" borderId="139" xfId="0" applyNumberFormat="1" applyFont="1" applyFill="1" applyBorder="1" applyAlignment="1">
      <alignment horizontal="center"/>
    </xf>
    <xf numFmtId="3" fontId="18" fillId="0" borderId="174" xfId="0" applyNumberFormat="1" applyFont="1" applyFill="1" applyBorder="1" applyAlignment="1">
      <alignment horizontal="center"/>
    </xf>
    <xf numFmtId="3" fontId="18" fillId="0" borderId="75" xfId="0" applyNumberFormat="1" applyFont="1" applyFill="1" applyBorder="1" applyAlignment="1">
      <alignment horizontal="center"/>
    </xf>
    <xf numFmtId="0" fontId="18" fillId="0" borderId="67" xfId="0" applyFont="1" applyFill="1" applyBorder="1" applyAlignment="1">
      <alignment horizontal="center"/>
    </xf>
    <xf numFmtId="3" fontId="18" fillId="0" borderId="139" xfId="0" applyNumberFormat="1" applyFont="1" applyFill="1" applyBorder="1" applyAlignment="1">
      <alignment/>
    </xf>
    <xf numFmtId="3" fontId="18" fillId="0" borderId="174" xfId="0" applyNumberFormat="1" applyFont="1" applyFill="1" applyBorder="1" applyAlignment="1">
      <alignment/>
    </xf>
    <xf numFmtId="0" fontId="18" fillId="0" borderId="127" xfId="0" applyFont="1" applyFill="1" applyBorder="1" applyAlignment="1">
      <alignment/>
    </xf>
    <xf numFmtId="3" fontId="18" fillId="0" borderId="75" xfId="0" applyNumberFormat="1" applyFont="1" applyFill="1" applyBorder="1" applyAlignment="1">
      <alignment/>
    </xf>
    <xf numFmtId="298" fontId="18" fillId="0" borderId="139" xfId="0" applyNumberFormat="1" applyFont="1" applyBorder="1" applyAlignment="1">
      <alignment horizontal="centerContinuous"/>
    </xf>
    <xf numFmtId="0" fontId="43" fillId="0" borderId="127" xfId="0" applyFont="1" applyBorder="1" applyAlignment="1">
      <alignment horizontal="center"/>
    </xf>
    <xf numFmtId="0" fontId="43" fillId="0" borderId="139" xfId="0" applyFont="1" applyBorder="1" applyAlignment="1">
      <alignment/>
    </xf>
    <xf numFmtId="4" fontId="18" fillId="33" borderId="33" xfId="0" applyNumberFormat="1" applyFont="1" applyFill="1" applyBorder="1" applyAlignment="1">
      <alignment horizontal="right"/>
    </xf>
    <xf numFmtId="4" fontId="18" fillId="0" borderId="229" xfId="0" applyNumberFormat="1" applyFont="1" applyBorder="1" applyAlignment="1">
      <alignment horizontal="right"/>
    </xf>
    <xf numFmtId="4" fontId="18" fillId="0" borderId="0" xfId="0" applyNumberFormat="1" applyFont="1" applyBorder="1" applyAlignment="1">
      <alignment/>
    </xf>
    <xf numFmtId="208" fontId="18" fillId="0" borderId="139" xfId="0" applyNumberFormat="1" applyFont="1" applyBorder="1" applyAlignment="1">
      <alignment/>
    </xf>
    <xf numFmtId="208" fontId="18" fillId="0" borderId="127" xfId="0" applyNumberFormat="1" applyFont="1" applyBorder="1" applyAlignment="1">
      <alignment/>
    </xf>
    <xf numFmtId="208" fontId="18" fillId="0" borderId="174" xfId="0" applyNumberFormat="1" applyFont="1" applyBorder="1" applyAlignment="1">
      <alignment/>
    </xf>
    <xf numFmtId="0" fontId="18" fillId="0" borderId="139" xfId="0" applyFont="1" applyBorder="1" applyAlignment="1">
      <alignment horizontal="right"/>
    </xf>
    <xf numFmtId="208" fontId="18" fillId="0" borderId="67" xfId="0" applyNumberFormat="1" applyFont="1" applyBorder="1" applyAlignment="1">
      <alignment/>
    </xf>
    <xf numFmtId="298" fontId="18" fillId="0" borderId="34" xfId="0" applyNumberFormat="1" applyFont="1" applyBorder="1" applyAlignment="1">
      <alignment horizontal="centerContinuous"/>
    </xf>
    <xf numFmtId="10" fontId="18" fillId="0" borderId="34" xfId="0" applyNumberFormat="1" applyFont="1" applyBorder="1" applyAlignment="1">
      <alignment horizontal="centerContinuous"/>
    </xf>
    <xf numFmtId="0" fontId="18" fillId="0" borderId="140" xfId="0" applyFont="1" applyBorder="1" applyAlignment="1">
      <alignment/>
    </xf>
    <xf numFmtId="3" fontId="18" fillId="0" borderId="174" xfId="0" applyNumberFormat="1" applyFont="1" applyBorder="1" applyAlignment="1">
      <alignment/>
    </xf>
    <xf numFmtId="0" fontId="18" fillId="0" borderId="229" xfId="0" applyFont="1" applyBorder="1" applyAlignment="1">
      <alignment horizontal="center"/>
    </xf>
    <xf numFmtId="180" fontId="18" fillId="0" borderId="229" xfId="0" applyNumberFormat="1" applyFont="1" applyBorder="1" applyAlignment="1">
      <alignment horizontal="center"/>
    </xf>
    <xf numFmtId="180" fontId="18" fillId="0" borderId="230" xfId="0" applyNumberFormat="1" applyFont="1" applyBorder="1" applyAlignment="1">
      <alignment horizontal="center"/>
    </xf>
    <xf numFmtId="0" fontId="18" fillId="0" borderId="128" xfId="0" applyFont="1" applyBorder="1" applyAlignment="1">
      <alignment/>
    </xf>
    <xf numFmtId="10" fontId="18" fillId="0" borderId="130" xfId="0" applyNumberFormat="1" applyFont="1" applyBorder="1" applyAlignment="1">
      <alignment horizontal="center"/>
    </xf>
    <xf numFmtId="10" fontId="18" fillId="0" borderId="128" xfId="0" applyNumberFormat="1" applyFont="1" applyBorder="1" applyAlignment="1">
      <alignment horizontal="center"/>
    </xf>
    <xf numFmtId="0" fontId="18" fillId="0" borderId="128" xfId="0" applyFont="1" applyBorder="1" applyAlignment="1">
      <alignment horizontal="center"/>
    </xf>
    <xf numFmtId="10" fontId="18" fillId="0" borderId="32" xfId="0" applyNumberFormat="1" applyFont="1" applyBorder="1" applyAlignment="1">
      <alignment horizontal="center"/>
    </xf>
    <xf numFmtId="206" fontId="18" fillId="0" borderId="32" xfId="0" applyNumberFormat="1" applyFont="1" applyBorder="1" applyAlignment="1">
      <alignment horizontal="center"/>
    </xf>
    <xf numFmtId="0" fontId="18" fillId="0" borderId="130" xfId="0" applyFont="1" applyBorder="1" applyAlignment="1">
      <alignment horizontal="center"/>
    </xf>
    <xf numFmtId="209" fontId="18" fillId="0" borderId="32" xfId="0" applyNumberFormat="1" applyFont="1" applyBorder="1" applyAlignment="1">
      <alignment horizontal="center"/>
    </xf>
    <xf numFmtId="0" fontId="43" fillId="0" borderId="0" xfId="0" applyFont="1" applyAlignment="1">
      <alignment horizontal="center"/>
    </xf>
    <xf numFmtId="0" fontId="18" fillId="0" borderId="18" xfId="0" applyFont="1" applyBorder="1" applyAlignment="1">
      <alignment horizontal="center"/>
    </xf>
    <xf numFmtId="0" fontId="18" fillId="0" borderId="18" xfId="0" applyFont="1" applyBorder="1" applyAlignment="1">
      <alignment/>
    </xf>
    <xf numFmtId="0" fontId="18" fillId="0" borderId="178" xfId="0" applyFont="1" applyBorder="1" applyAlignment="1">
      <alignment/>
    </xf>
    <xf numFmtId="0" fontId="18" fillId="0" borderId="184" xfId="0" applyFont="1" applyBorder="1" applyAlignment="1">
      <alignment/>
    </xf>
    <xf numFmtId="0" fontId="18" fillId="0" borderId="141" xfId="0" applyFont="1" applyBorder="1" applyAlignment="1">
      <alignment horizontal="centerContinuous"/>
    </xf>
    <xf numFmtId="0" fontId="18" fillId="0" borderId="152" xfId="0" applyFont="1" applyBorder="1" applyAlignment="1">
      <alignment horizontal="center"/>
    </xf>
    <xf numFmtId="58" fontId="18" fillId="0" borderId="152" xfId="0" applyNumberFormat="1" applyFont="1" applyBorder="1" applyAlignment="1">
      <alignment horizontal="centerContinuous"/>
    </xf>
    <xf numFmtId="31" fontId="18" fillId="0" borderId="142" xfId="0" applyNumberFormat="1" applyFont="1" applyBorder="1" applyAlignment="1">
      <alignment horizontal="centerContinuous"/>
    </xf>
    <xf numFmtId="0" fontId="18" fillId="0" borderId="145" xfId="0" applyFont="1" applyBorder="1" applyAlignment="1">
      <alignment horizontal="center"/>
    </xf>
    <xf numFmtId="0" fontId="18" fillId="0" borderId="139" xfId="0" applyFont="1" applyBorder="1" applyAlignment="1">
      <alignment horizontal="center"/>
    </xf>
    <xf numFmtId="0" fontId="18" fillId="0" borderId="139" xfId="0" applyFont="1" applyBorder="1" applyAlignment="1">
      <alignment horizontal="centerContinuous"/>
    </xf>
    <xf numFmtId="0" fontId="18" fillId="0" borderId="127" xfId="0" applyFont="1" applyBorder="1" applyAlignment="1">
      <alignment horizontal="centerContinuous"/>
    </xf>
    <xf numFmtId="0" fontId="18" fillId="0" borderId="33" xfId="0" applyFont="1" applyBorder="1" applyAlignment="1">
      <alignment horizontal="centerContinuous"/>
    </xf>
    <xf numFmtId="0" fontId="18" fillId="0" borderId="138" xfId="0" applyFont="1" applyBorder="1" applyAlignment="1">
      <alignment horizontal="centerContinuous"/>
    </xf>
    <xf numFmtId="0" fontId="18" fillId="33" borderId="127" xfId="0" applyFont="1" applyFill="1" applyBorder="1" applyAlignment="1">
      <alignment horizontal="centerContinuous"/>
    </xf>
    <xf numFmtId="0" fontId="18" fillId="33" borderId="33" xfId="0" applyFont="1" applyFill="1" applyBorder="1" applyAlignment="1">
      <alignment horizontal="centerContinuous"/>
    </xf>
    <xf numFmtId="0" fontId="18" fillId="0" borderId="231" xfId="0" applyFont="1" applyBorder="1" applyAlignment="1">
      <alignment horizontal="center"/>
    </xf>
    <xf numFmtId="0" fontId="18" fillId="0" borderId="68" xfId="0" applyFont="1" applyBorder="1" applyAlignment="1">
      <alignment horizontal="centerContinuous"/>
    </xf>
    <xf numFmtId="0" fontId="18" fillId="0" borderId="73" xfId="0" applyFont="1" applyBorder="1" applyAlignment="1">
      <alignment horizontal="centerContinuous"/>
    </xf>
    <xf numFmtId="9" fontId="18" fillId="0" borderId="68" xfId="41" applyFont="1" applyBorder="1" applyAlignment="1">
      <alignment horizontal="centerContinuous"/>
    </xf>
    <xf numFmtId="9" fontId="18" fillId="0" borderId="73" xfId="41" applyFont="1" applyBorder="1" applyAlignment="1">
      <alignment horizontal="centerContinuous"/>
    </xf>
    <xf numFmtId="0" fontId="18" fillId="0" borderId="33" xfId="0" applyFont="1" applyBorder="1" applyAlignment="1">
      <alignment horizontal="center"/>
    </xf>
    <xf numFmtId="0" fontId="18" fillId="0" borderId="174" xfId="0" applyFont="1" applyBorder="1" applyAlignment="1">
      <alignment horizontal="centerContinuous"/>
    </xf>
    <xf numFmtId="0" fontId="18" fillId="0" borderId="229" xfId="0" applyFont="1" applyBorder="1" applyAlignment="1">
      <alignment horizontal="centerContinuous"/>
    </xf>
    <xf numFmtId="0" fontId="18" fillId="0" borderId="130" xfId="0" applyFont="1" applyBorder="1" applyAlignment="1">
      <alignment horizontal="right"/>
    </xf>
    <xf numFmtId="0" fontId="18" fillId="0" borderId="232" xfId="0" applyFont="1" applyBorder="1" applyAlignment="1">
      <alignment/>
    </xf>
    <xf numFmtId="0" fontId="18" fillId="0" borderId="66" xfId="0" applyFont="1" applyBorder="1" applyAlignment="1">
      <alignment horizontal="centerContinuous"/>
    </xf>
    <xf numFmtId="9" fontId="18" fillId="0" borderId="65" xfId="41" applyFont="1" applyBorder="1" applyAlignment="1">
      <alignment horizontal="centerContinuous"/>
    </xf>
    <xf numFmtId="9" fontId="18" fillId="0" borderId="66" xfId="41" applyFont="1" applyBorder="1" applyAlignment="1">
      <alignment horizontal="centerContinuous"/>
    </xf>
    <xf numFmtId="181" fontId="18" fillId="0" borderId="138" xfId="0" applyNumberFormat="1" applyFont="1" applyBorder="1" applyAlignment="1">
      <alignment/>
    </xf>
    <xf numFmtId="0" fontId="18" fillId="0" borderId="127" xfId="0" applyFont="1" applyBorder="1" applyAlignment="1">
      <alignment/>
    </xf>
    <xf numFmtId="181" fontId="18" fillId="0" borderId="140" xfId="0" applyNumberFormat="1" applyFont="1" applyBorder="1" applyAlignment="1">
      <alignment/>
    </xf>
    <xf numFmtId="0" fontId="18" fillId="0" borderId="70" xfId="0" applyFont="1" applyBorder="1" applyAlignment="1">
      <alignment/>
    </xf>
    <xf numFmtId="0" fontId="18" fillId="0" borderId="70" xfId="0" applyFont="1" applyBorder="1" applyAlignment="1">
      <alignment horizontal="centerContinuous"/>
    </xf>
    <xf numFmtId="0" fontId="18" fillId="0" borderId="94" xfId="0" applyFont="1" applyBorder="1" applyAlignment="1">
      <alignment horizontal="centerContinuous"/>
    </xf>
    <xf numFmtId="0" fontId="18" fillId="0" borderId="67" xfId="0" applyFont="1" applyBorder="1" applyAlignment="1">
      <alignment horizontal="centerContinuous"/>
    </xf>
    <xf numFmtId="9" fontId="18" fillId="0" borderId="67" xfId="0" applyNumberFormat="1" applyFont="1" applyBorder="1" applyAlignment="1">
      <alignment horizontal="center"/>
    </xf>
    <xf numFmtId="0" fontId="18" fillId="0" borderId="32" xfId="0" applyFont="1" applyBorder="1" applyAlignment="1">
      <alignment horizontal="centerContinuous"/>
    </xf>
    <xf numFmtId="0" fontId="18" fillId="0" borderId="67" xfId="0" applyFont="1" applyBorder="1" applyAlignment="1">
      <alignment horizontal="right"/>
    </xf>
    <xf numFmtId="0" fontId="18" fillId="0" borderId="67" xfId="0" applyFont="1" applyBorder="1" applyAlignment="1">
      <alignment horizontal="center"/>
    </xf>
    <xf numFmtId="0" fontId="18" fillId="0" borderId="31" xfId="0" applyFont="1" applyBorder="1" applyAlignment="1">
      <alignment horizontal="right"/>
    </xf>
    <xf numFmtId="0" fontId="18" fillId="0" borderId="31" xfId="0" applyFont="1" applyBorder="1" applyAlignment="1">
      <alignment/>
    </xf>
    <xf numFmtId="0" fontId="18" fillId="0" borderId="34" xfId="0" applyFont="1" applyBorder="1" applyAlignment="1">
      <alignment horizontal="center"/>
    </xf>
    <xf numFmtId="208" fontId="18" fillId="0" borderId="33" xfId="0" applyNumberFormat="1" applyFont="1" applyBorder="1" applyAlignment="1">
      <alignment/>
    </xf>
    <xf numFmtId="297" fontId="18" fillId="0" borderId="33" xfId="0" applyNumberFormat="1" applyFont="1" applyBorder="1" applyAlignment="1">
      <alignment/>
    </xf>
    <xf numFmtId="3" fontId="18" fillId="0" borderId="138" xfId="0" applyNumberFormat="1" applyFont="1" applyBorder="1" applyAlignment="1">
      <alignment/>
    </xf>
    <xf numFmtId="208" fontId="18" fillId="0" borderId="32" xfId="0" applyNumberFormat="1" applyFont="1" applyBorder="1" applyAlignment="1">
      <alignment/>
    </xf>
    <xf numFmtId="3" fontId="18" fillId="0" borderId="0" xfId="0" applyNumberFormat="1" applyFont="1" applyAlignment="1">
      <alignment/>
    </xf>
    <xf numFmtId="3" fontId="18" fillId="0" borderId="31" xfId="0" applyNumberFormat="1" applyFont="1" applyBorder="1" applyAlignment="1">
      <alignment/>
    </xf>
    <xf numFmtId="210" fontId="18" fillId="0" borderId="33" xfId="0" applyNumberFormat="1" applyFont="1" applyBorder="1" applyAlignment="1">
      <alignment/>
    </xf>
    <xf numFmtId="9" fontId="18" fillId="0" borderId="138" xfId="0" applyNumberFormat="1" applyFont="1" applyBorder="1" applyAlignment="1">
      <alignment horizontal="center"/>
    </xf>
    <xf numFmtId="210" fontId="18" fillId="0" borderId="130" xfId="0" applyNumberFormat="1" applyFont="1" applyBorder="1" applyAlignment="1">
      <alignment/>
    </xf>
    <xf numFmtId="210" fontId="18" fillId="0" borderId="0" xfId="0" applyNumberFormat="1" applyFont="1" applyBorder="1" applyAlignment="1">
      <alignment/>
    </xf>
    <xf numFmtId="9" fontId="18" fillId="0" borderId="140" xfId="0" applyNumberFormat="1" applyFont="1" applyBorder="1" applyAlignment="1">
      <alignment horizontal="center"/>
    </xf>
    <xf numFmtId="0" fontId="18" fillId="0" borderId="32" xfId="0" applyFont="1" applyBorder="1" applyAlignment="1">
      <alignment/>
    </xf>
    <xf numFmtId="0" fontId="18" fillId="0" borderId="233" xfId="0" applyFont="1" applyBorder="1" applyAlignment="1">
      <alignment horizontal="center"/>
    </xf>
    <xf numFmtId="0" fontId="18" fillId="0" borderId="233" xfId="0" applyFont="1" applyBorder="1" applyAlignment="1">
      <alignment/>
    </xf>
    <xf numFmtId="210" fontId="18" fillId="0" borderId="234" xfId="0" applyNumberFormat="1" applyFont="1" applyBorder="1" applyAlignment="1">
      <alignment horizontal="center"/>
    </xf>
    <xf numFmtId="206" fontId="18" fillId="0" borderId="33" xfId="0" applyNumberFormat="1" applyFont="1" applyBorder="1" applyAlignment="1">
      <alignment horizontal="center"/>
    </xf>
    <xf numFmtId="10" fontId="18" fillId="0" borderId="33" xfId="0" applyNumberFormat="1" applyFont="1" applyBorder="1" applyAlignment="1">
      <alignment horizontal="center"/>
    </xf>
    <xf numFmtId="208" fontId="18" fillId="0" borderId="138" xfId="0" applyNumberFormat="1" applyFont="1" applyBorder="1" applyAlignment="1">
      <alignment/>
    </xf>
    <xf numFmtId="3" fontId="18" fillId="0" borderId="33" xfId="0" applyNumberFormat="1" applyFont="1" applyBorder="1" applyAlignment="1">
      <alignment horizontal="centerContinuous"/>
    </xf>
    <xf numFmtId="0" fontId="18" fillId="0" borderId="33" xfId="0" applyFont="1" applyBorder="1" applyAlignment="1">
      <alignment/>
    </xf>
    <xf numFmtId="0" fontId="18" fillId="0" borderId="235" xfId="0" applyFont="1" applyBorder="1" applyAlignment="1">
      <alignment horizontal="center" vertical="center"/>
    </xf>
    <xf numFmtId="0" fontId="18" fillId="0" borderId="139" xfId="0" applyFont="1" applyBorder="1" applyAlignment="1">
      <alignment horizontal="center" vertical="center"/>
    </xf>
    <xf numFmtId="0" fontId="18" fillId="0" borderId="127" xfId="0" applyFont="1" applyFill="1" applyBorder="1" applyAlignment="1">
      <alignment horizontal="right"/>
    </xf>
    <xf numFmtId="207" fontId="18" fillId="0" borderId="139" xfId="0" applyNumberFormat="1" applyFont="1" applyBorder="1" applyAlignment="1">
      <alignment horizontal="centerContinuous"/>
    </xf>
    <xf numFmtId="189" fontId="18" fillId="0" borderId="34" xfId="0" applyNumberFormat="1" applyFont="1" applyBorder="1" applyAlignment="1">
      <alignment horizontal="center"/>
    </xf>
    <xf numFmtId="0" fontId="18" fillId="0" borderId="177" xfId="0" applyFont="1" applyBorder="1" applyAlignment="1">
      <alignment/>
    </xf>
    <xf numFmtId="10" fontId="18" fillId="0" borderId="39" xfId="0" applyNumberFormat="1" applyFont="1" applyBorder="1" applyAlignment="1">
      <alignment horizontal="centerContinuous"/>
    </xf>
    <xf numFmtId="0" fontId="18" fillId="0" borderId="39" xfId="0" applyFont="1" applyBorder="1" applyAlignment="1">
      <alignment/>
    </xf>
    <xf numFmtId="0" fontId="18" fillId="0" borderId="40" xfId="0" applyFont="1" applyBorder="1" applyAlignment="1">
      <alignment/>
    </xf>
    <xf numFmtId="0" fontId="18" fillId="0" borderId="0" xfId="0" applyFont="1" applyAlignment="1">
      <alignment horizontal="right"/>
    </xf>
    <xf numFmtId="0" fontId="18" fillId="0" borderId="162" xfId="0" applyFont="1" applyBorder="1" applyAlignment="1">
      <alignment horizontal="centerContinuous"/>
    </xf>
    <xf numFmtId="0" fontId="18" fillId="0" borderId="169" xfId="0" applyFont="1" applyBorder="1" applyAlignment="1">
      <alignment/>
    </xf>
    <xf numFmtId="208" fontId="43" fillId="0" borderId="173" xfId="0" applyNumberFormat="1" applyFont="1" applyBorder="1" applyAlignment="1">
      <alignment horizontal="centerContinuous"/>
    </xf>
    <xf numFmtId="0" fontId="43" fillId="0" borderId="173" xfId="0" applyFont="1" applyBorder="1" applyAlignment="1">
      <alignment horizontal="centerContinuous"/>
    </xf>
    <xf numFmtId="298" fontId="43" fillId="0" borderId="173" xfId="0" applyNumberFormat="1" applyFont="1" applyBorder="1" applyAlignment="1">
      <alignment horizontal="centerContinuous"/>
    </xf>
    <xf numFmtId="0" fontId="41" fillId="0" borderId="231" xfId="0" applyFont="1" applyBorder="1" applyAlignment="1">
      <alignment horizontal="center"/>
    </xf>
    <xf numFmtId="0" fontId="41" fillId="0" borderId="232" xfId="0" applyFont="1" applyBorder="1" applyAlignment="1">
      <alignment/>
    </xf>
    <xf numFmtId="0" fontId="41" fillId="0" borderId="142" xfId="0" applyFont="1" applyBorder="1" applyAlignment="1">
      <alignment horizontal="centerContinuous"/>
    </xf>
    <xf numFmtId="232" fontId="0" fillId="37" borderId="0" xfId="0" applyNumberFormat="1" applyFont="1" applyFill="1" applyBorder="1" applyAlignment="1" applyProtection="1">
      <alignment horizontal="center"/>
      <protection locked="0"/>
    </xf>
    <xf numFmtId="0" fontId="0" fillId="37" borderId="0" xfId="0" applyFont="1" applyFill="1" applyBorder="1" applyAlignment="1" applyProtection="1">
      <alignment horizontal="center"/>
      <protection locked="0"/>
    </xf>
    <xf numFmtId="178" fontId="0" fillId="37" borderId="173" xfId="41" applyNumberFormat="1" applyFont="1" applyFill="1" applyBorder="1" applyAlignment="1">
      <alignment horizontal="center"/>
    </xf>
    <xf numFmtId="0" fontId="0" fillId="40" borderId="13" xfId="0" applyFont="1" applyFill="1" applyBorder="1" applyAlignment="1" applyProtection="1">
      <alignment/>
      <protection locked="0"/>
    </xf>
    <xf numFmtId="297" fontId="0" fillId="40" borderId="13" xfId="0" applyNumberFormat="1" applyFont="1" applyFill="1" applyBorder="1" applyAlignment="1" applyProtection="1">
      <alignment/>
      <protection locked="0"/>
    </xf>
    <xf numFmtId="57" fontId="0" fillId="40" borderId="13" xfId="0" applyNumberFormat="1" applyFont="1" applyFill="1" applyBorder="1" applyAlignment="1" applyProtection="1">
      <alignment/>
      <protection locked="0"/>
    </xf>
    <xf numFmtId="3" fontId="0" fillId="40" borderId="13" xfId="0" applyNumberFormat="1" applyFont="1" applyFill="1" applyBorder="1" applyAlignment="1" applyProtection="1">
      <alignment/>
      <protection locked="0"/>
    </xf>
    <xf numFmtId="284" fontId="0" fillId="40" borderId="13" xfId="0" applyNumberFormat="1" applyFont="1" applyFill="1" applyBorder="1" applyAlignment="1" applyProtection="1">
      <alignment/>
      <protection locked="0"/>
    </xf>
    <xf numFmtId="0" fontId="0" fillId="40" borderId="32" xfId="0" applyFont="1" applyFill="1" applyBorder="1" applyAlignment="1" applyProtection="1">
      <alignment horizontal="center"/>
      <protection locked="0"/>
    </xf>
    <xf numFmtId="232" fontId="0" fillId="40" borderId="32" xfId="0" applyNumberFormat="1" applyFont="1" applyFill="1" applyBorder="1" applyAlignment="1" applyProtection="1">
      <alignment/>
      <protection locked="0"/>
    </xf>
    <xf numFmtId="0" fontId="0" fillId="40" borderId="13" xfId="0" applyFont="1" applyFill="1" applyBorder="1" applyAlignment="1" applyProtection="1">
      <alignment horizontal="left"/>
      <protection locked="0"/>
    </xf>
    <xf numFmtId="318" fontId="0" fillId="40" borderId="32" xfId="0" applyNumberFormat="1" applyFont="1" applyFill="1" applyBorder="1" applyAlignment="1" applyProtection="1">
      <alignment horizontal="center"/>
      <protection locked="0"/>
    </xf>
    <xf numFmtId="297" fontId="0" fillId="40" borderId="32" xfId="0" applyNumberFormat="1" applyFont="1" applyFill="1" applyBorder="1" applyAlignment="1" applyProtection="1">
      <alignment/>
      <protection locked="0"/>
    </xf>
    <xf numFmtId="0" fontId="0" fillId="40" borderId="32" xfId="0" applyNumberFormat="1" applyFont="1" applyFill="1" applyBorder="1" applyAlignment="1" applyProtection="1">
      <alignment horizontal="center"/>
      <protection locked="0"/>
    </xf>
    <xf numFmtId="0" fontId="0" fillId="40" borderId="32" xfId="0" applyFont="1" applyFill="1" applyBorder="1" applyAlignment="1">
      <alignment/>
    </xf>
    <xf numFmtId="233" fontId="0" fillId="40" borderId="13" xfId="0" applyNumberFormat="1" applyFont="1" applyFill="1" applyBorder="1" applyAlignment="1" applyProtection="1">
      <alignment/>
      <protection locked="0"/>
    </xf>
    <xf numFmtId="233" fontId="0" fillId="40" borderId="32" xfId="0" applyNumberFormat="1" applyFont="1" applyFill="1" applyBorder="1" applyAlignment="1">
      <alignment/>
    </xf>
    <xf numFmtId="233" fontId="0" fillId="40" borderId="32" xfId="0" applyNumberFormat="1" applyFont="1" applyFill="1" applyBorder="1" applyAlignment="1" applyProtection="1">
      <alignment/>
      <protection locked="0"/>
    </xf>
    <xf numFmtId="233" fontId="0" fillId="40" borderId="32" xfId="0" applyNumberFormat="1" applyFont="1" applyFill="1" applyBorder="1" applyAlignment="1" applyProtection="1">
      <alignment/>
      <protection locked="0"/>
    </xf>
    <xf numFmtId="0" fontId="0" fillId="40" borderId="0" xfId="0" applyFont="1" applyFill="1" applyAlignment="1" applyProtection="1">
      <alignment/>
      <protection locked="0"/>
    </xf>
    <xf numFmtId="38" fontId="0" fillId="40" borderId="13" xfId="48" applyFont="1" applyFill="1" applyBorder="1" applyAlignment="1" applyProtection="1">
      <alignment/>
      <protection locked="0"/>
    </xf>
    <xf numFmtId="0" fontId="0" fillId="0" borderId="13" xfId="0" applyBorder="1" applyAlignment="1" applyProtection="1">
      <alignment/>
      <protection locked="0"/>
    </xf>
    <xf numFmtId="0" fontId="0" fillId="0" borderId="13" xfId="0" applyBorder="1" applyAlignment="1" applyProtection="1">
      <alignment horizontal="left"/>
      <protection locked="0"/>
    </xf>
    <xf numFmtId="0" fontId="0" fillId="33" borderId="151" xfId="0" applyFont="1" applyFill="1" applyBorder="1" applyAlignment="1">
      <alignment horizontal="center"/>
    </xf>
    <xf numFmtId="0" fontId="0" fillId="33" borderId="153" xfId="0" applyFont="1" applyFill="1" applyBorder="1" applyAlignment="1">
      <alignment horizontal="center"/>
    </xf>
    <xf numFmtId="0" fontId="18" fillId="0" borderId="181" xfId="0" applyFont="1" applyBorder="1" applyAlignment="1">
      <alignment horizontal="center"/>
    </xf>
    <xf numFmtId="0" fontId="18" fillId="0" borderId="39" xfId="0" applyFont="1" applyBorder="1" applyAlignment="1">
      <alignment horizontal="center"/>
    </xf>
    <xf numFmtId="0" fontId="18" fillId="0" borderId="195" xfId="0" applyFont="1" applyBorder="1" applyAlignment="1">
      <alignment horizontal="center"/>
    </xf>
    <xf numFmtId="208" fontId="43" fillId="0" borderId="61" xfId="0" applyNumberFormat="1" applyFont="1" applyBorder="1" applyAlignment="1">
      <alignment horizontal="center"/>
    </xf>
    <xf numFmtId="208" fontId="43" fillId="0" borderId="43" xfId="0" applyNumberFormat="1" applyFont="1" applyBorder="1" applyAlignment="1">
      <alignment horizontal="center"/>
    </xf>
    <xf numFmtId="208" fontId="43" fillId="0" borderId="95" xfId="0" applyNumberFormat="1" applyFont="1" applyBorder="1" applyAlignment="1">
      <alignment horizontal="center"/>
    </xf>
    <xf numFmtId="0" fontId="0" fillId="33" borderId="191" xfId="0" applyFont="1" applyFill="1" applyBorder="1" applyAlignment="1">
      <alignment horizontal="center"/>
    </xf>
    <xf numFmtId="0" fontId="0" fillId="33" borderId="150" xfId="0" applyFont="1" applyFill="1" applyBorder="1" applyAlignment="1">
      <alignment horizontal="center"/>
    </xf>
    <xf numFmtId="0" fontId="19" fillId="40" borderId="131" xfId="0" applyFont="1" applyFill="1" applyBorder="1" applyAlignment="1" applyProtection="1">
      <alignment horizontal="center" vertical="center"/>
      <protection locked="0"/>
    </xf>
    <xf numFmtId="0" fontId="19" fillId="40" borderId="30" xfId="0" applyFont="1" applyFill="1" applyBorder="1" applyAlignment="1" applyProtection="1">
      <alignment horizontal="center" vertical="center"/>
      <protection locked="0"/>
    </xf>
    <xf numFmtId="0" fontId="18" fillId="0" borderId="86" xfId="0" applyFont="1" applyBorder="1" applyAlignment="1">
      <alignment horizontal="center"/>
    </xf>
    <xf numFmtId="0" fontId="18" fillId="0" borderId="236" xfId="0" applyFont="1" applyBorder="1" applyAlignment="1">
      <alignment horizontal="center"/>
    </xf>
    <xf numFmtId="0" fontId="0" fillId="33" borderId="33" xfId="0" applyFont="1" applyFill="1" applyBorder="1" applyAlignment="1">
      <alignment vertical="center" wrapText="1"/>
    </xf>
    <xf numFmtId="0" fontId="0" fillId="33" borderId="138" xfId="0" applyFont="1" applyFill="1" applyBorder="1" applyAlignment="1">
      <alignment vertical="center" wrapText="1"/>
    </xf>
    <xf numFmtId="0" fontId="0" fillId="33" borderId="0" xfId="0" applyFont="1" applyFill="1" applyBorder="1" applyAlignment="1">
      <alignment vertical="center" wrapText="1"/>
    </xf>
    <xf numFmtId="0" fontId="0" fillId="33" borderId="140" xfId="0" applyFont="1" applyFill="1" applyBorder="1" applyAlignment="1">
      <alignment vertical="center" wrapText="1"/>
    </xf>
    <xf numFmtId="0" fontId="0" fillId="33" borderId="139" xfId="0" applyFont="1" applyFill="1" applyBorder="1" applyAlignment="1">
      <alignment vertical="center" wrapText="1"/>
    </xf>
    <xf numFmtId="0" fontId="0" fillId="33" borderId="67" xfId="0" applyFont="1" applyFill="1" applyBorder="1" applyAlignment="1">
      <alignment vertical="center" wrapText="1"/>
    </xf>
    <xf numFmtId="0" fontId="0" fillId="33" borderId="31" xfId="0" applyFont="1" applyFill="1" applyBorder="1" applyAlignment="1">
      <alignment vertical="center" wrapText="1"/>
    </xf>
    <xf numFmtId="208" fontId="43" fillId="0" borderId="100" xfId="0" applyNumberFormat="1" applyFont="1" applyBorder="1" applyAlignment="1">
      <alignment horizontal="center"/>
    </xf>
    <xf numFmtId="208" fontId="43" fillId="0" borderId="198" xfId="0" applyNumberFormat="1" applyFont="1" applyBorder="1" applyAlignment="1">
      <alignment horizontal="center"/>
    </xf>
    <xf numFmtId="208" fontId="43" fillId="0" borderId="199" xfId="0" applyNumberFormat="1" applyFont="1" applyBorder="1" applyAlignment="1">
      <alignment horizontal="center"/>
    </xf>
    <xf numFmtId="0" fontId="18" fillId="0" borderId="180" xfId="0" applyFont="1" applyBorder="1" applyAlignment="1">
      <alignment horizontal="center"/>
    </xf>
    <xf numFmtId="0" fontId="18" fillId="0" borderId="101" xfId="0" applyFont="1" applyBorder="1" applyAlignment="1">
      <alignment horizontal="center"/>
    </xf>
    <xf numFmtId="0" fontId="18" fillId="0" borderId="199" xfId="0" applyFont="1" applyBorder="1" applyAlignment="1">
      <alignment horizontal="center"/>
    </xf>
    <xf numFmtId="0" fontId="18" fillId="0" borderId="62" xfId="0" applyFont="1" applyBorder="1" applyAlignment="1">
      <alignment horizontal="center"/>
    </xf>
    <xf numFmtId="0" fontId="18" fillId="0" borderId="95" xfId="0" applyFont="1" applyBorder="1" applyAlignment="1">
      <alignment horizontal="center"/>
    </xf>
    <xf numFmtId="0" fontId="18" fillId="0" borderId="237" xfId="0" applyFont="1" applyBorder="1" applyAlignment="1">
      <alignment horizontal="center"/>
    </xf>
    <xf numFmtId="0" fontId="18" fillId="0" borderId="238" xfId="0" applyFont="1" applyBorder="1" applyAlignment="1">
      <alignment horizontal="center"/>
    </xf>
    <xf numFmtId="0" fontId="18" fillId="0" borderId="185" xfId="0" applyFont="1" applyBorder="1" applyAlignment="1" applyProtection="1">
      <alignment horizontal="center" vertical="center"/>
      <protection/>
    </xf>
    <xf numFmtId="0" fontId="18" fillId="0" borderId="239" xfId="0" applyFont="1" applyBorder="1" applyAlignment="1" applyProtection="1">
      <alignment horizontal="center" vertical="center"/>
      <protection/>
    </xf>
    <xf numFmtId="0" fontId="18" fillId="0" borderId="183" xfId="0" applyFont="1" applyBorder="1" applyAlignment="1" applyProtection="1">
      <alignment horizontal="center" vertical="center"/>
      <protection/>
    </xf>
    <xf numFmtId="0" fontId="18" fillId="0" borderId="240" xfId="0" applyFont="1" applyBorder="1" applyAlignment="1" applyProtection="1">
      <alignment horizontal="center" vertical="center"/>
      <protection/>
    </xf>
    <xf numFmtId="0" fontId="18" fillId="0" borderId="228" xfId="0" applyFont="1" applyBorder="1" applyAlignment="1" applyProtection="1">
      <alignment horizontal="left" vertical="center" wrapText="1" indent="1"/>
      <protection/>
    </xf>
    <xf numFmtId="0" fontId="18" fillId="0" borderId="33" xfId="0" applyFont="1" applyBorder="1" applyAlignment="1" applyProtection="1">
      <alignment horizontal="left" vertical="center" wrapText="1" indent="1"/>
      <protection/>
    </xf>
    <xf numFmtId="0" fontId="18" fillId="0" borderId="186" xfId="0" applyFont="1" applyBorder="1" applyAlignment="1" applyProtection="1">
      <alignment horizontal="left" vertical="center" wrapText="1" indent="1"/>
      <protection/>
    </xf>
    <xf numFmtId="0" fontId="18" fillId="0" borderId="201" xfId="0" applyFont="1" applyBorder="1" applyAlignment="1" applyProtection="1">
      <alignment horizontal="left" vertical="center" wrapText="1" indent="1"/>
      <protection/>
    </xf>
    <xf numFmtId="0" fontId="18" fillId="0" borderId="173" xfId="0" applyFont="1" applyBorder="1" applyAlignment="1" applyProtection="1">
      <alignment horizontal="left" vertical="center" wrapText="1" indent="1"/>
      <protection/>
    </xf>
    <xf numFmtId="0" fontId="18" fillId="0" borderId="172" xfId="0" applyFont="1" applyBorder="1" applyAlignment="1" applyProtection="1">
      <alignment horizontal="left" vertical="center" wrapText="1" indent="1"/>
      <protection/>
    </xf>
    <xf numFmtId="0" fontId="18" fillId="33" borderId="78" xfId="0" applyFont="1" applyFill="1" applyBorder="1" applyAlignment="1" applyProtection="1">
      <alignment horizontal="center" vertical="center"/>
      <protection/>
    </xf>
    <xf numFmtId="0" fontId="18" fillId="33" borderId="51" xfId="0" applyFont="1" applyFill="1" applyBorder="1" applyAlignment="1" applyProtection="1">
      <alignment horizontal="center" vertical="center"/>
      <protection/>
    </xf>
    <xf numFmtId="0" fontId="18" fillId="0" borderId="80" xfId="0" applyFont="1" applyBorder="1" applyAlignment="1" applyProtection="1">
      <alignment horizontal="left" vertical="center" wrapText="1" indent="1" shrinkToFit="1"/>
      <protection/>
    </xf>
    <xf numFmtId="0" fontId="18" fillId="0" borderId="52" xfId="0" applyFont="1" applyBorder="1" applyAlignment="1" applyProtection="1">
      <alignment horizontal="left" vertical="center" wrapText="1" indent="1" shrinkToFit="1"/>
      <protection/>
    </xf>
    <xf numFmtId="0" fontId="18" fillId="33" borderId="160" xfId="0" applyFont="1" applyFill="1" applyBorder="1" applyAlignment="1" applyProtection="1">
      <alignment horizontal="center" vertical="center"/>
      <protection/>
    </xf>
    <xf numFmtId="0" fontId="18" fillId="0" borderId="175" xfId="0" applyFont="1" applyBorder="1" applyAlignment="1" applyProtection="1">
      <alignment horizontal="left" vertical="center" wrapText="1" indent="1" shrinkToFit="1"/>
      <protection/>
    </xf>
    <xf numFmtId="0" fontId="18" fillId="0" borderId="42" xfId="0" applyFont="1" applyFill="1" applyBorder="1" applyAlignment="1" applyProtection="1">
      <alignment horizontal="left" vertical="center" wrapText="1" indent="1"/>
      <protection/>
    </xf>
    <xf numFmtId="0" fontId="18" fillId="0" borderId="43" xfId="0" applyFont="1" applyFill="1" applyBorder="1" applyAlignment="1" applyProtection="1">
      <alignment horizontal="left" vertical="center" wrapText="1" indent="1"/>
      <protection/>
    </xf>
    <xf numFmtId="0" fontId="18" fillId="0" borderId="44" xfId="0" applyFont="1" applyFill="1" applyBorder="1" applyAlignment="1" applyProtection="1">
      <alignment horizontal="left" vertical="center" wrapText="1" indent="1"/>
      <protection/>
    </xf>
    <xf numFmtId="0" fontId="18" fillId="0" borderId="74" xfId="0" applyFont="1" applyFill="1" applyBorder="1" applyAlignment="1" applyProtection="1">
      <alignment horizontal="left" vertical="center" wrapText="1" indent="1"/>
      <protection/>
    </xf>
    <xf numFmtId="0" fontId="18" fillId="0" borderId="233" xfId="0" applyFont="1" applyFill="1" applyBorder="1" applyAlignment="1" applyProtection="1">
      <alignment horizontal="left" vertical="center" wrapText="1" indent="1"/>
      <protection/>
    </xf>
    <xf numFmtId="0" fontId="18" fillId="0" borderId="241" xfId="0" applyFont="1" applyFill="1" applyBorder="1" applyAlignment="1" applyProtection="1">
      <alignment horizontal="left" vertical="center" wrapText="1" indent="1"/>
      <protection/>
    </xf>
    <xf numFmtId="0" fontId="20" fillId="0" borderId="128" xfId="0" applyFont="1" applyFill="1" applyBorder="1" applyAlignment="1">
      <alignment horizontal="center" vertical="center" wrapText="1"/>
    </xf>
    <xf numFmtId="0" fontId="20" fillId="0" borderId="130" xfId="0" applyFont="1" applyFill="1" applyBorder="1" applyAlignment="1">
      <alignment horizontal="center" vertical="center" wrapText="1"/>
    </xf>
    <xf numFmtId="0" fontId="20" fillId="0" borderId="165" xfId="0" applyFont="1" applyFill="1" applyBorder="1" applyAlignment="1">
      <alignment horizontal="center" vertical="center" wrapText="1"/>
    </xf>
    <xf numFmtId="0" fontId="20" fillId="0" borderId="128" xfId="0" applyFont="1" applyFill="1" applyBorder="1" applyAlignment="1">
      <alignment horizontal="center" vertical="center" wrapText="1"/>
    </xf>
    <xf numFmtId="0" fontId="20" fillId="0" borderId="130" xfId="0" applyFont="1" applyFill="1" applyBorder="1" applyAlignment="1">
      <alignment horizontal="center" vertical="center" wrapText="1"/>
    </xf>
    <xf numFmtId="0" fontId="20" fillId="0" borderId="165" xfId="0" applyFont="1" applyFill="1" applyBorder="1" applyAlignment="1">
      <alignment horizontal="center" vertical="center" wrapText="1"/>
    </xf>
    <xf numFmtId="0" fontId="20" fillId="0" borderId="128" xfId="0" applyFont="1" applyFill="1" applyBorder="1" applyAlignment="1">
      <alignment horizontal="left" vertical="center" wrapText="1"/>
    </xf>
    <xf numFmtId="0" fontId="20" fillId="0" borderId="130" xfId="0" applyFont="1" applyFill="1" applyBorder="1" applyAlignment="1">
      <alignment horizontal="left" vertical="center" wrapText="1"/>
    </xf>
    <xf numFmtId="0" fontId="31" fillId="0" borderId="130" xfId="0" applyFont="1" applyFill="1" applyBorder="1" applyAlignment="1">
      <alignment horizontal="left" vertical="top" wrapText="1"/>
    </xf>
    <xf numFmtId="0" fontId="20" fillId="0" borderId="173" xfId="0" applyFont="1" applyFill="1" applyBorder="1" applyAlignment="1">
      <alignment horizontal="left"/>
    </xf>
    <xf numFmtId="0" fontId="20" fillId="0" borderId="32" xfId="0" applyFont="1" applyFill="1" applyBorder="1" applyAlignment="1">
      <alignment horizontal="left" vertical="center" wrapText="1"/>
    </xf>
    <xf numFmtId="0" fontId="20" fillId="0" borderId="128" xfId="0" applyFont="1" applyFill="1" applyBorder="1" applyAlignment="1">
      <alignment vertical="center" wrapText="1"/>
    </xf>
    <xf numFmtId="0" fontId="20" fillId="0" borderId="130" xfId="0" applyFont="1" applyFill="1" applyBorder="1" applyAlignment="1">
      <alignment vertical="center" wrapText="1"/>
    </xf>
    <xf numFmtId="0" fontId="20" fillId="0" borderId="128" xfId="0" applyFont="1" applyFill="1" applyBorder="1" applyAlignment="1">
      <alignment vertical="center" wrapText="1"/>
    </xf>
    <xf numFmtId="0" fontId="20" fillId="0" borderId="130" xfId="0" applyFont="1" applyFill="1" applyBorder="1" applyAlignment="1">
      <alignment vertical="center" wrapText="1"/>
    </xf>
    <xf numFmtId="0" fontId="31" fillId="0" borderId="130" xfId="0" applyFont="1" applyFill="1" applyBorder="1" applyAlignment="1">
      <alignment vertical="center" wrapText="1"/>
    </xf>
    <xf numFmtId="0" fontId="31" fillId="0" borderId="165" xfId="0" applyFont="1" applyFill="1" applyBorder="1" applyAlignment="1">
      <alignment vertical="center" wrapText="1"/>
    </xf>
    <xf numFmtId="0" fontId="20" fillId="0" borderId="173" xfId="0" applyNumberFormat="1" applyFont="1" applyFill="1" applyBorder="1" applyAlignment="1">
      <alignment horizontal="center"/>
    </xf>
    <xf numFmtId="10" fontId="22" fillId="0" borderId="99" xfId="41" applyNumberFormat="1" applyFont="1" applyFill="1" applyBorder="1" applyAlignment="1">
      <alignment horizontal="center" vertical="center" shrinkToFit="1"/>
    </xf>
    <xf numFmtId="10" fontId="22" fillId="0" borderId="198" xfId="41" applyNumberFormat="1" applyFont="1" applyFill="1" applyBorder="1" applyAlignment="1">
      <alignment horizontal="center" vertical="center" shrinkToFit="1"/>
    </xf>
    <xf numFmtId="0" fontId="30" fillId="0" borderId="228" xfId="0" applyFont="1" applyBorder="1" applyAlignment="1">
      <alignment horizontal="center" vertical="center"/>
    </xf>
    <xf numFmtId="0" fontId="30" fillId="0" borderId="55" xfId="0" applyFont="1" applyBorder="1" applyAlignment="1">
      <alignment horizontal="center" vertical="center"/>
    </xf>
    <xf numFmtId="0" fontId="30" fillId="0" borderId="79" xfId="0" applyFont="1" applyBorder="1" applyAlignment="1">
      <alignment horizontal="center" vertical="center"/>
    </xf>
    <xf numFmtId="3" fontId="20" fillId="0" borderId="90" xfId="0" applyNumberFormat="1" applyFont="1" applyBorder="1" applyAlignment="1">
      <alignment horizontal="left" indent="1"/>
    </xf>
    <xf numFmtId="3" fontId="20" fillId="0" borderId="242" xfId="0" applyNumberFormat="1" applyFont="1" applyBorder="1" applyAlignment="1">
      <alignment horizontal="left" indent="1"/>
    </xf>
    <xf numFmtId="3" fontId="20" fillId="0" borderId="89" xfId="0" applyNumberFormat="1" applyFont="1" applyBorder="1" applyAlignment="1">
      <alignment horizontal="left" indent="1"/>
    </xf>
    <xf numFmtId="3" fontId="20" fillId="0" borderId="62" xfId="0" applyNumberFormat="1" applyFont="1" applyBorder="1" applyAlignment="1">
      <alignment horizontal="left" indent="1"/>
    </xf>
    <xf numFmtId="3" fontId="20" fillId="0" borderId="243" xfId="0" applyNumberFormat="1" applyFont="1" applyBorder="1" applyAlignment="1">
      <alignment horizontal="left" indent="1"/>
    </xf>
    <xf numFmtId="328" fontId="20" fillId="0" borderId="62" xfId="0" applyNumberFormat="1" applyFont="1" applyBorder="1" applyAlignment="1">
      <alignment horizontal="left" indent="1"/>
    </xf>
    <xf numFmtId="328" fontId="20" fillId="0" borderId="243" xfId="0" applyNumberFormat="1" applyFont="1" applyBorder="1" applyAlignment="1">
      <alignment horizontal="left" indent="1"/>
    </xf>
    <xf numFmtId="184" fontId="24" fillId="0" borderId="152" xfId="0" applyNumberFormat="1" applyFont="1" applyBorder="1" applyAlignment="1">
      <alignment horizontal="center" vertical="center"/>
    </xf>
    <xf numFmtId="184" fontId="24" fillId="0" borderId="244" xfId="0" applyNumberFormat="1" applyFont="1" applyBorder="1" applyAlignment="1">
      <alignment horizontal="center" vertical="center"/>
    </xf>
    <xf numFmtId="180" fontId="24" fillId="0" borderId="141" xfId="0" applyNumberFormat="1" applyFont="1" applyFill="1" applyBorder="1" applyAlignment="1">
      <alignment horizontal="center" vertical="center"/>
    </xf>
    <xf numFmtId="180" fontId="24" fillId="0" borderId="142" xfId="0" applyNumberFormat="1" applyFont="1" applyFill="1" applyBorder="1" applyAlignment="1">
      <alignment horizontal="center" vertical="center"/>
    </xf>
    <xf numFmtId="180" fontId="24" fillId="0" borderId="204" xfId="0" applyNumberFormat="1" applyFont="1" applyFill="1" applyBorder="1" applyAlignment="1">
      <alignment horizontal="center" vertical="center"/>
    </xf>
    <xf numFmtId="184" fontId="21" fillId="0" borderId="141" xfId="0" applyNumberFormat="1" applyFont="1" applyBorder="1" applyAlignment="1">
      <alignment horizontal="center" vertical="center"/>
    </xf>
    <xf numFmtId="184" fontId="21" fillId="0" borderId="244" xfId="0" applyNumberFormat="1" applyFont="1" applyBorder="1" applyAlignment="1">
      <alignment horizontal="center" vertical="center"/>
    </xf>
    <xf numFmtId="0" fontId="24" fillId="0" borderId="190" xfId="0" applyFont="1" applyFill="1" applyBorder="1" applyAlignment="1">
      <alignment horizontal="center" vertical="center" wrapText="1"/>
    </xf>
    <xf numFmtId="0" fontId="24" fillId="0" borderId="159" xfId="0" applyFont="1" applyFill="1" applyBorder="1" applyAlignment="1">
      <alignment horizontal="center" vertical="center" wrapText="1"/>
    </xf>
    <xf numFmtId="0" fontId="24" fillId="0" borderId="167" xfId="0" applyFont="1" applyFill="1" applyBorder="1" applyAlignment="1">
      <alignment horizontal="center" vertical="center" wrapText="1"/>
    </xf>
    <xf numFmtId="0" fontId="24" fillId="0" borderId="245" xfId="0" applyFont="1" applyBorder="1" applyAlignment="1">
      <alignment horizontal="center" vertical="center" wrapText="1"/>
    </xf>
    <xf numFmtId="0" fontId="24" fillId="0" borderId="59" xfId="0" applyFont="1" applyBorder="1" applyAlignment="1">
      <alignment horizontal="center" vertical="center" wrapText="1"/>
    </xf>
    <xf numFmtId="297" fontId="20" fillId="0" borderId="245" xfId="0" applyNumberFormat="1" applyFont="1" applyBorder="1" applyAlignment="1">
      <alignment horizontal="left" vertical="center" indent="1"/>
    </xf>
    <xf numFmtId="297" fontId="20" fillId="0" borderId="246" xfId="0" applyNumberFormat="1" applyFont="1" applyBorder="1" applyAlignment="1">
      <alignment horizontal="left" vertical="center" indent="1"/>
    </xf>
    <xf numFmtId="297" fontId="20" fillId="0" borderId="247" xfId="0" applyNumberFormat="1" applyFont="1" applyBorder="1" applyAlignment="1">
      <alignment horizontal="left" vertical="center" indent="1"/>
    </xf>
    <xf numFmtId="297" fontId="20" fillId="0" borderId="248" xfId="0" applyNumberFormat="1" applyFont="1" applyBorder="1" applyAlignment="1">
      <alignment horizontal="left" vertical="center" indent="1"/>
    </xf>
    <xf numFmtId="0" fontId="22" fillId="0" borderId="99" xfId="0" applyFont="1" applyFill="1" applyBorder="1" applyAlignment="1">
      <alignment horizontal="center" vertical="center" shrinkToFit="1"/>
    </xf>
    <xf numFmtId="0" fontId="22" fillId="0" borderId="198" xfId="0" applyFont="1" applyFill="1" applyBorder="1" applyAlignment="1">
      <alignment horizontal="center" vertical="center" shrinkToFit="1"/>
    </xf>
    <xf numFmtId="0" fontId="22" fillId="0" borderId="198" xfId="0" applyFont="1" applyFill="1" applyBorder="1" applyAlignment="1">
      <alignment horizontal="left" vertical="center" shrinkToFit="1"/>
    </xf>
    <xf numFmtId="0" fontId="22" fillId="0" borderId="46" xfId="0" applyFont="1" applyFill="1" applyBorder="1" applyAlignment="1">
      <alignment horizontal="left" vertical="center" shrinkToFit="1"/>
    </xf>
    <xf numFmtId="0" fontId="20" fillId="0" borderId="58" xfId="0" applyNumberFormat="1" applyFont="1" applyFill="1" applyBorder="1" applyAlignment="1">
      <alignment horizontal="left" vertical="top" wrapText="1"/>
    </xf>
    <xf numFmtId="0" fontId="20" fillId="0" borderId="58" xfId="0" applyNumberFormat="1" applyFont="1" applyFill="1" applyBorder="1" applyAlignment="1">
      <alignment horizontal="left" vertical="top" wrapText="1"/>
    </xf>
    <xf numFmtId="0" fontId="24" fillId="0" borderId="249" xfId="0" applyFont="1" applyBorder="1" applyAlignment="1">
      <alignment horizontal="center" vertical="center" wrapText="1"/>
    </xf>
    <xf numFmtId="0" fontId="24" fillId="0" borderId="78" xfId="0" applyFont="1" applyBorder="1" applyAlignment="1">
      <alignment vertical="center"/>
    </xf>
    <xf numFmtId="0" fontId="24" fillId="0" borderId="54" xfId="0" applyFont="1" applyBorder="1" applyAlignment="1">
      <alignment vertical="center"/>
    </xf>
    <xf numFmtId="0" fontId="24" fillId="0" borderId="51" xfId="0" applyFont="1" applyBorder="1" applyAlignment="1">
      <alignment vertical="center"/>
    </xf>
    <xf numFmtId="0" fontId="24" fillId="0" borderId="250" xfId="0" applyFont="1" applyBorder="1" applyAlignment="1">
      <alignment vertical="center"/>
    </xf>
    <xf numFmtId="0" fontId="24" fillId="0" borderId="251" xfId="0" applyFont="1" applyBorder="1" applyAlignment="1">
      <alignment horizontal="center" vertical="center" wrapText="1"/>
    </xf>
    <xf numFmtId="0" fontId="24" fillId="0" borderId="79" xfId="0" applyFont="1" applyBorder="1" applyAlignment="1">
      <alignment horizontal="left" vertical="center"/>
    </xf>
    <xf numFmtId="0" fontId="24" fillId="0" borderId="55" xfId="0" applyFont="1" applyBorder="1" applyAlignment="1">
      <alignment horizontal="left" vertical="center"/>
    </xf>
    <xf numFmtId="0" fontId="30" fillId="0" borderId="252" xfId="0" applyFont="1" applyBorder="1" applyAlignment="1">
      <alignment horizontal="center" vertical="center"/>
    </xf>
    <xf numFmtId="0" fontId="30" fillId="0" borderId="57" xfId="0" applyFont="1" applyBorder="1" applyAlignment="1">
      <alignment horizontal="center" vertical="center"/>
    </xf>
    <xf numFmtId="0" fontId="30" fillId="0" borderId="49" xfId="0" applyFont="1" applyBorder="1" applyAlignment="1">
      <alignment horizontal="center" vertical="center"/>
    </xf>
    <xf numFmtId="3" fontId="20" fillId="0" borderId="61" xfId="0" applyNumberFormat="1" applyFont="1" applyBorder="1" applyAlignment="1">
      <alignment horizontal="left" indent="1"/>
    </xf>
    <xf numFmtId="328" fontId="20" fillId="0" borderId="61" xfId="0" applyNumberFormat="1" applyFont="1" applyBorder="1" applyAlignment="1">
      <alignment horizontal="left" indent="1"/>
    </xf>
    <xf numFmtId="3" fontId="20" fillId="0" borderId="43" xfId="0" applyNumberFormat="1" applyFont="1" applyBorder="1" applyAlignment="1">
      <alignment horizontal="left" vertical="center" indent="1" shrinkToFit="1"/>
    </xf>
    <xf numFmtId="3" fontId="20" fillId="0" borderId="44" xfId="0" applyNumberFormat="1" applyFont="1" applyBorder="1" applyAlignment="1">
      <alignment horizontal="left" vertical="center" indent="1" shrinkToFit="1"/>
    </xf>
    <xf numFmtId="3" fontId="20" fillId="0" borderId="62" xfId="0" applyNumberFormat="1" applyFont="1" applyBorder="1" applyAlignment="1">
      <alignment horizontal="left" vertical="center" indent="1" shrinkToFit="1"/>
    </xf>
    <xf numFmtId="3" fontId="20" fillId="0" borderId="95" xfId="0" applyNumberFormat="1" applyFont="1" applyBorder="1" applyAlignment="1">
      <alignment horizontal="left" vertical="center" indent="1" shrinkToFit="1"/>
    </xf>
    <xf numFmtId="0" fontId="18" fillId="0" borderId="130" xfId="0" applyFont="1" applyBorder="1" applyAlignment="1">
      <alignment horizontal="center" vertical="top" wrapText="1"/>
    </xf>
    <xf numFmtId="0" fontId="18" fillId="0" borderId="32" xfId="0" applyFont="1" applyBorder="1" applyAlignment="1">
      <alignment horizontal="center" vertical="top" wrapText="1"/>
    </xf>
  </cellXfs>
  <cellStyles count="60">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メモ" xfId="43"/>
    <cellStyle name="リンク セル" xfId="44"/>
    <cellStyle name="悪い" xfId="45"/>
    <cellStyle name="計算" xfId="46"/>
    <cellStyle name="警告文" xfId="47"/>
    <cellStyle name="Comma [0]" xfId="48"/>
    <cellStyle name="Comma" xfId="49"/>
    <cellStyle name="桁区切り [0.00]_hyoujun" xfId="50"/>
    <cellStyle name="桁区切り [0.00]_hyoujunka2000" xfId="51"/>
    <cellStyle name="桁区切り_hyoujun" xfId="52"/>
    <cellStyle name="桁区切り_hyoujunka2000" xfId="53"/>
    <cellStyle name="見出し 1" xfId="54"/>
    <cellStyle name="見出し 2" xfId="55"/>
    <cellStyle name="見出し 3" xfId="56"/>
    <cellStyle name="見出し 4" xfId="57"/>
    <cellStyle name="合計" xfId="58"/>
    <cellStyle name="出力" xfId="59"/>
    <cellStyle name="説明文" xfId="60"/>
    <cellStyle name="Currency [0]" xfId="61"/>
    <cellStyle name="Currency" xfId="62"/>
    <cellStyle name="通貨 [0.00]_hyoujun" xfId="63"/>
    <cellStyle name="通貨 [0.00]_hyoujunka2000" xfId="64"/>
    <cellStyle name="通貨_hyoujun" xfId="65"/>
    <cellStyle name="通貨_hyoujunka2000" xfId="66"/>
    <cellStyle name="入力" xfId="67"/>
    <cellStyle name="標準_hyoujun" xfId="68"/>
    <cellStyle name="標準_hyoujunka2000" xfId="69"/>
    <cellStyle name="標準_JIREI10" xfId="70"/>
    <cellStyle name="Followed Hyperlink" xfId="71"/>
    <cellStyle name="普通" xfId="72"/>
    <cellStyle name="良い" xfId="73"/>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EAEAEA"/>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FF9FF"/>
      <rgbColor rgb="00D1FFE2"/>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08875"/>
          <c:w val="0.8435"/>
          <c:h val="0.8695"/>
        </c:manualLayout>
      </c:layout>
      <c:lineChart>
        <c:grouping val="standard"/>
        <c:varyColors val="0"/>
        <c:ser>
          <c:idx val="0"/>
          <c:order val="0"/>
          <c:tx>
            <c:strRef>
              <c:f>'比準グラフ'!$B$2</c:f>
              <c:strCache>
                <c:ptCount val="1"/>
                <c:pt idx="0">
                  <c:v>駅距離評点</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99"/>
              </a:solidFill>
              <a:ln>
                <a:solidFill>
                  <a:srgbClr val="000000"/>
                </a:solidFill>
              </a:ln>
            </c:spPr>
          </c:marker>
          <c:cat>
            <c:strRef>
              <c:f>'比準グラフ'!$A$3:$A$10</c:f>
              <c:strCache/>
            </c:strRef>
          </c:cat>
          <c:val>
            <c:numRef>
              <c:f>'比準グラフ'!$B$3:$B$10</c:f>
              <c:numCache/>
            </c:numRef>
          </c:val>
          <c:smooth val="1"/>
        </c:ser>
        <c:ser>
          <c:idx val="1"/>
          <c:order val="1"/>
          <c:tx>
            <c:strRef>
              <c:f>'比準グラフ'!$C$2</c:f>
              <c:strCache>
                <c:ptCount val="1"/>
                <c:pt idx="0">
                  <c:v>商業施設評点</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993300"/>
                </a:solidFill>
              </a:ln>
            </c:spPr>
          </c:marker>
          <c:cat>
            <c:strRef>
              <c:f>'比準グラフ'!$A$3:$A$10</c:f>
              <c:strCache/>
            </c:strRef>
          </c:cat>
          <c:val>
            <c:numRef>
              <c:f>'比準グラフ'!$C$3:$C$10</c:f>
              <c:numCache/>
            </c:numRef>
          </c:val>
          <c:smooth val="1"/>
        </c:ser>
        <c:ser>
          <c:idx val="2"/>
          <c:order val="2"/>
          <c:tx>
            <c:strRef>
              <c:f>'比準グラフ'!$D$2</c:f>
              <c:strCache>
                <c:ptCount val="1"/>
                <c:pt idx="0">
                  <c:v>公共施設評点</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cat>
            <c:strRef>
              <c:f>'比準グラフ'!$A$3:$A$10</c:f>
              <c:strCache/>
            </c:strRef>
          </c:cat>
          <c:val>
            <c:numRef>
              <c:f>'比準グラフ'!$D$3:$D$10</c:f>
              <c:numCache/>
            </c:numRef>
          </c:val>
          <c:smooth val="1"/>
        </c:ser>
        <c:ser>
          <c:idx val="3"/>
          <c:order val="3"/>
          <c:tx>
            <c:strRef>
              <c:f>'比準グラフ'!$E$2</c:f>
              <c:strCache>
                <c:ptCount val="1"/>
                <c:pt idx="0">
                  <c:v>圏域距離評点</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00"/>
              </a:solidFill>
              <a:ln>
                <a:solidFill>
                  <a:srgbClr val="00FFFF"/>
                </a:solidFill>
              </a:ln>
            </c:spPr>
          </c:marker>
          <c:cat>
            <c:strRef>
              <c:f>'比準グラフ'!$A$3:$A$10</c:f>
              <c:strCache/>
            </c:strRef>
          </c:cat>
          <c:val>
            <c:numRef>
              <c:f>'比準グラフ'!$E$3:$E$10</c:f>
              <c:numCache/>
            </c:numRef>
          </c:val>
          <c:smooth val="1"/>
        </c:ser>
        <c:marker val="1"/>
        <c:axId val="46110250"/>
        <c:axId val="12339067"/>
      </c:lineChart>
      <c:catAx>
        <c:axId val="4611025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1" u="none" baseline="0">
                <a:solidFill>
                  <a:srgbClr val="000000"/>
                </a:solidFill>
              </a:defRPr>
            </a:pPr>
          </a:p>
        </c:txPr>
        <c:crossAx val="12339067"/>
        <c:crosses val="autoZero"/>
        <c:auto val="1"/>
        <c:lblOffset val="100"/>
        <c:tickLblSkip val="1"/>
        <c:noMultiLvlLbl val="0"/>
      </c:catAx>
      <c:valAx>
        <c:axId val="12339067"/>
        <c:scaling>
          <c:orientation val="minMax"/>
          <c:max val="100"/>
        </c:scaling>
        <c:axPos val="l"/>
        <c:majorGridlines>
          <c:spPr>
            <a:ln w="3175">
              <a:solidFill>
                <a:srgbClr val="339966"/>
              </a:solidFill>
            </a:ln>
          </c:spPr>
        </c:majorGridlines>
        <c:delete val="0"/>
        <c:numFmt formatCode="General&quot;点&quot;"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6110250"/>
        <c:crossesAt val="1"/>
        <c:crossBetween val="midCat"/>
        <c:dispUnits/>
      </c:valAx>
      <c:spPr>
        <a:noFill/>
        <a:ln w="12700">
          <a:solidFill>
            <a:srgbClr val="000000"/>
          </a:solidFill>
        </a:ln>
      </c:spPr>
    </c:plotArea>
    <c:legend>
      <c:legendPos val="r"/>
      <c:layout>
        <c:manualLayout>
          <c:xMode val="edge"/>
          <c:yMode val="edge"/>
          <c:x val="0.878"/>
          <c:y val="0.263"/>
          <c:w val="0.122"/>
          <c:h val="0.371"/>
        </c:manualLayout>
      </c:layout>
      <c:overlay val="0"/>
      <c:spPr>
        <a:solidFill>
          <a:srgbClr val="FFFFFF"/>
        </a:solidFill>
        <a:ln w="3175">
          <a:solidFill>
            <a:srgbClr val="000000"/>
          </a:solidFill>
        </a:ln>
      </c:spPr>
      <c:txPr>
        <a:bodyPr vert="horz" rot="0"/>
        <a:lstStyle/>
        <a:p>
          <a:pPr>
            <a:defRPr lang="en-US" cap="none" sz="8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5.jpeg" /><Relationship Id="rId4" Type="http://schemas.openxmlformats.org/officeDocument/2006/relationships/image" Target="../media/image6.jpeg" /></Relationships>
</file>

<file path=xl/drawings/_rels/drawing3.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8.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28</xdr:row>
      <xdr:rowOff>9525</xdr:rowOff>
    </xdr:from>
    <xdr:to>
      <xdr:col>30</xdr:col>
      <xdr:colOff>0</xdr:colOff>
      <xdr:row>29</xdr:row>
      <xdr:rowOff>200025</xdr:rowOff>
    </xdr:to>
    <xdr:sp>
      <xdr:nvSpPr>
        <xdr:cNvPr id="1" name="Line 1"/>
        <xdr:cNvSpPr>
          <a:spLocks/>
        </xdr:cNvSpPr>
      </xdr:nvSpPr>
      <xdr:spPr>
        <a:xfrm>
          <a:off x="31051500" y="10677525"/>
          <a:ext cx="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6</xdr:col>
      <xdr:colOff>390525</xdr:colOff>
      <xdr:row>42</xdr:row>
      <xdr:rowOff>190500</xdr:rowOff>
    </xdr:from>
    <xdr:to>
      <xdr:col>7</xdr:col>
      <xdr:colOff>400050</xdr:colOff>
      <xdr:row>44</xdr:row>
      <xdr:rowOff>47625</xdr:rowOff>
    </xdr:to>
    <xdr:sp macro="[0]!演算のみ">
      <xdr:nvSpPr>
        <xdr:cNvPr id="2" name="テキスト 2"/>
        <xdr:cNvSpPr>
          <a:spLocks/>
        </xdr:cNvSpPr>
      </xdr:nvSpPr>
      <xdr:spPr>
        <a:xfrm>
          <a:off x="7591425" y="15459075"/>
          <a:ext cx="1209675" cy="485775"/>
        </a:xfrm>
        <a:prstGeom prst="roundRect">
          <a:avLst/>
        </a:prstGeom>
        <a:gradFill rotWithShape="1">
          <a:gsLst>
            <a:gs pos="0">
              <a:srgbClr val="2E2E25"/>
            </a:gs>
            <a:gs pos="100000">
              <a:srgbClr val="FFFFCC"/>
            </a:gs>
          </a:gsLst>
          <a:lin ang="18900000" scaled="1"/>
        </a:gra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Osaka"/>
              <a:ea typeface="Osaka"/>
              <a:cs typeface="Osaka"/>
            </a:rPr>
            <a:t>全体演算</a:t>
          </a:r>
        </a:p>
      </xdr:txBody>
    </xdr:sp>
    <xdr:clientData/>
  </xdr:twoCellAnchor>
  <xdr:twoCellAnchor>
    <xdr:from>
      <xdr:col>6</xdr:col>
      <xdr:colOff>428625</xdr:colOff>
      <xdr:row>45</xdr:row>
      <xdr:rowOff>152400</xdr:rowOff>
    </xdr:from>
    <xdr:to>
      <xdr:col>7</xdr:col>
      <xdr:colOff>419100</xdr:colOff>
      <xdr:row>46</xdr:row>
      <xdr:rowOff>171450</xdr:rowOff>
    </xdr:to>
    <xdr:sp macro="[0]!演算印刷">
      <xdr:nvSpPr>
        <xdr:cNvPr id="3" name="テキスト 3" descr="ブーケ"/>
        <xdr:cNvSpPr>
          <a:spLocks/>
        </xdr:cNvSpPr>
      </xdr:nvSpPr>
      <xdr:spPr>
        <a:xfrm>
          <a:off x="7629525" y="16363950"/>
          <a:ext cx="1190625" cy="333375"/>
        </a:xfrm>
        <a:prstGeom prst="roundRect">
          <a:avLst/>
        </a:prstGeom>
        <a:blipFill>
          <a:blip r:embed="rId1"/>
          <a:srcRect/>
          <a:stretch>
            <a:fillRect/>
          </a:stretch>
        </a:blip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Osaka"/>
              <a:ea typeface="Osaka"/>
              <a:cs typeface="Osaka"/>
            </a:rPr>
            <a:t>演算印刷</a:t>
          </a:r>
        </a:p>
      </xdr:txBody>
    </xdr:sp>
    <xdr:clientData/>
  </xdr:twoCellAnchor>
  <xdr:twoCellAnchor>
    <xdr:from>
      <xdr:col>7</xdr:col>
      <xdr:colOff>619125</xdr:colOff>
      <xdr:row>40</xdr:row>
      <xdr:rowOff>85725</xdr:rowOff>
    </xdr:from>
    <xdr:to>
      <xdr:col>8</xdr:col>
      <xdr:colOff>590550</xdr:colOff>
      <xdr:row>41</xdr:row>
      <xdr:rowOff>152400</xdr:rowOff>
    </xdr:to>
    <xdr:sp macro="[0]!比準表印刷">
      <xdr:nvSpPr>
        <xdr:cNvPr id="4" name="テキスト 4" descr="ﾌﾞｰｹ"/>
        <xdr:cNvSpPr>
          <a:spLocks/>
        </xdr:cNvSpPr>
      </xdr:nvSpPr>
      <xdr:spPr>
        <a:xfrm>
          <a:off x="9020175" y="14725650"/>
          <a:ext cx="1171575" cy="381000"/>
        </a:xfrm>
        <a:prstGeom prst="roundRect">
          <a:avLst/>
        </a:prstGeom>
        <a:blipFill>
          <a:blip r:embed="rId2"/>
          <a:srcRect/>
          <a:stretch>
            <a:fillRect/>
          </a:stretch>
        </a:blip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Osaka"/>
              <a:ea typeface="Osaka"/>
              <a:cs typeface="Osaka"/>
            </a:rPr>
            <a:t>比準表印刷</a:t>
          </a:r>
        </a:p>
      </xdr:txBody>
    </xdr:sp>
    <xdr:clientData/>
  </xdr:twoCellAnchor>
  <xdr:twoCellAnchor>
    <xdr:from>
      <xdr:col>7</xdr:col>
      <xdr:colOff>657225</xdr:colOff>
      <xdr:row>43</xdr:row>
      <xdr:rowOff>123825</xdr:rowOff>
    </xdr:from>
    <xdr:to>
      <xdr:col>8</xdr:col>
      <xdr:colOff>590550</xdr:colOff>
      <xdr:row>44</xdr:row>
      <xdr:rowOff>161925</xdr:rowOff>
    </xdr:to>
    <xdr:sp macro="[0]!評価書印刷">
      <xdr:nvSpPr>
        <xdr:cNvPr id="5" name="テキスト 6"/>
        <xdr:cNvSpPr>
          <a:spLocks/>
        </xdr:cNvSpPr>
      </xdr:nvSpPr>
      <xdr:spPr>
        <a:xfrm>
          <a:off x="9058275" y="15706725"/>
          <a:ext cx="1133475" cy="352425"/>
        </a:xfrm>
        <a:prstGeom prst="roundRect">
          <a:avLst/>
        </a:prstGeom>
        <a:gradFill rotWithShape="1">
          <a:gsLst>
            <a:gs pos="0">
              <a:srgbClr val="FFCC99"/>
            </a:gs>
            <a:gs pos="100000">
              <a:srgbClr val="99CC00"/>
            </a:gs>
          </a:gsLst>
          <a:path path="rect">
            <a:fillToRect l="50000" t="50000" r="50000" b="50000"/>
          </a:path>
        </a:gra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Osaka"/>
              <a:ea typeface="Osaka"/>
              <a:cs typeface="Osaka"/>
            </a:rPr>
            <a:t>評価書印刷</a:t>
          </a:r>
        </a:p>
      </xdr:txBody>
    </xdr:sp>
    <xdr:clientData/>
  </xdr:twoCellAnchor>
  <xdr:oneCellAnchor>
    <xdr:from>
      <xdr:col>10</xdr:col>
      <xdr:colOff>323850</xdr:colOff>
      <xdr:row>43</xdr:row>
      <xdr:rowOff>152400</xdr:rowOff>
    </xdr:from>
    <xdr:ext cx="95250" cy="266700"/>
    <xdr:sp fLocksText="0">
      <xdr:nvSpPr>
        <xdr:cNvPr id="6" name="Text Box 9"/>
        <xdr:cNvSpPr txBox="1">
          <a:spLocks noChangeArrowheads="1"/>
        </xdr:cNvSpPr>
      </xdr:nvSpPr>
      <xdr:spPr>
        <a:xfrm>
          <a:off x="11944350" y="15735300"/>
          <a:ext cx="95250" cy="266700"/>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twoCellAnchor>
    <xdr:from>
      <xdr:col>7</xdr:col>
      <xdr:colOff>628650</xdr:colOff>
      <xdr:row>47</xdr:row>
      <xdr:rowOff>9525</xdr:rowOff>
    </xdr:from>
    <xdr:to>
      <xdr:col>8</xdr:col>
      <xdr:colOff>619125</xdr:colOff>
      <xdr:row>48</xdr:row>
      <xdr:rowOff>85725</xdr:rowOff>
    </xdr:to>
    <xdr:sp macro="[0]!収益印刷">
      <xdr:nvSpPr>
        <xdr:cNvPr id="7" name="AutoShape 10"/>
        <xdr:cNvSpPr>
          <a:spLocks/>
        </xdr:cNvSpPr>
      </xdr:nvSpPr>
      <xdr:spPr>
        <a:xfrm>
          <a:off x="9029700" y="16849725"/>
          <a:ext cx="1190625" cy="390525"/>
        </a:xfrm>
        <a:prstGeom prst="roundRect">
          <a:avLst/>
        </a:prstGeom>
        <a:gradFill rotWithShape="1">
          <a:gsLst>
            <a:gs pos="0">
              <a:srgbClr val="FF00FF"/>
            </a:gs>
            <a:gs pos="100000">
              <a:srgbClr val="00CCFF"/>
            </a:gs>
          </a:gsLst>
          <a:path path="rect">
            <a:fillToRect l="50000" t="50000" r="50000" b="50000"/>
          </a:path>
        </a:gra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Osaka"/>
              <a:ea typeface="Osaka"/>
              <a:cs typeface="Osaka"/>
            </a:rPr>
            <a:t>収益印刷</a:t>
          </a:r>
        </a:p>
      </xdr:txBody>
    </xdr:sp>
    <xdr:clientData/>
  </xdr:twoCellAnchor>
  <xdr:twoCellAnchor>
    <xdr:from>
      <xdr:col>7</xdr:col>
      <xdr:colOff>866775</xdr:colOff>
      <xdr:row>4</xdr:row>
      <xdr:rowOff>152400</xdr:rowOff>
    </xdr:from>
    <xdr:to>
      <xdr:col>8</xdr:col>
      <xdr:colOff>809625</xdr:colOff>
      <xdr:row>6</xdr:row>
      <xdr:rowOff>0</xdr:rowOff>
    </xdr:to>
    <xdr:sp macro="[0]!比準表印刷">
      <xdr:nvSpPr>
        <xdr:cNvPr id="8" name="テキスト 4" descr="ﾌﾞｰｹ"/>
        <xdr:cNvSpPr>
          <a:spLocks/>
        </xdr:cNvSpPr>
      </xdr:nvSpPr>
      <xdr:spPr>
        <a:xfrm>
          <a:off x="9267825" y="1676400"/>
          <a:ext cx="1143000" cy="609600"/>
        </a:xfrm>
        <a:prstGeom prst="roundRect">
          <a:avLst/>
        </a:prstGeom>
        <a:blipFill>
          <a:blip r:embed="rId3"/>
          <a:srcRect/>
          <a:stretch>
            <a:fillRect/>
          </a:stretch>
        </a:blip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Osaka"/>
              <a:ea typeface="Osaka"/>
              <a:cs typeface="Osaka"/>
            </a:rPr>
            <a:t>比準表印刷</a:t>
          </a:r>
        </a:p>
      </xdr:txBody>
    </xdr:sp>
    <xdr:clientData/>
  </xdr:twoCellAnchor>
  <xdr:twoCellAnchor>
    <xdr:from>
      <xdr:col>7</xdr:col>
      <xdr:colOff>923925</xdr:colOff>
      <xdr:row>7</xdr:row>
      <xdr:rowOff>66675</xdr:rowOff>
    </xdr:from>
    <xdr:to>
      <xdr:col>8</xdr:col>
      <xdr:colOff>771525</xdr:colOff>
      <xdr:row>8</xdr:row>
      <xdr:rowOff>104775</xdr:rowOff>
    </xdr:to>
    <xdr:sp macro="[0]!評価書印刷">
      <xdr:nvSpPr>
        <xdr:cNvPr id="9" name="テキスト 6"/>
        <xdr:cNvSpPr>
          <a:spLocks/>
        </xdr:cNvSpPr>
      </xdr:nvSpPr>
      <xdr:spPr>
        <a:xfrm>
          <a:off x="9324975" y="2733675"/>
          <a:ext cx="1047750" cy="419100"/>
        </a:xfrm>
        <a:prstGeom prst="roundRect">
          <a:avLst/>
        </a:prstGeom>
        <a:gradFill rotWithShape="1">
          <a:gsLst>
            <a:gs pos="0">
              <a:srgbClr val="FFCC99"/>
            </a:gs>
            <a:gs pos="100000">
              <a:srgbClr val="99CC00"/>
            </a:gs>
          </a:gsLst>
          <a:path path="rect">
            <a:fillToRect l="50000" t="50000" r="50000" b="50000"/>
          </a:path>
        </a:gra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Osaka"/>
              <a:ea typeface="Osaka"/>
              <a:cs typeface="Osaka"/>
            </a:rPr>
            <a:t>評価書印刷</a:t>
          </a:r>
        </a:p>
      </xdr:txBody>
    </xdr:sp>
    <xdr:clientData/>
  </xdr:twoCellAnchor>
  <xdr:twoCellAnchor>
    <xdr:from>
      <xdr:col>7</xdr:col>
      <xdr:colOff>942975</xdr:colOff>
      <xdr:row>9</xdr:row>
      <xdr:rowOff>123825</xdr:rowOff>
    </xdr:from>
    <xdr:to>
      <xdr:col>8</xdr:col>
      <xdr:colOff>771525</xdr:colOff>
      <xdr:row>10</xdr:row>
      <xdr:rowOff>257175</xdr:rowOff>
    </xdr:to>
    <xdr:sp macro="[0]!収益印刷">
      <xdr:nvSpPr>
        <xdr:cNvPr id="10" name="AutoShape 15"/>
        <xdr:cNvSpPr>
          <a:spLocks/>
        </xdr:cNvSpPr>
      </xdr:nvSpPr>
      <xdr:spPr>
        <a:xfrm>
          <a:off x="9344025" y="3552825"/>
          <a:ext cx="1028700" cy="514350"/>
        </a:xfrm>
        <a:prstGeom prst="roundRect">
          <a:avLst/>
        </a:prstGeom>
        <a:gradFill rotWithShape="1">
          <a:gsLst>
            <a:gs pos="0">
              <a:srgbClr val="FF00FF"/>
            </a:gs>
            <a:gs pos="100000">
              <a:srgbClr val="00CCFF"/>
            </a:gs>
          </a:gsLst>
          <a:path path="rect">
            <a:fillToRect l="50000" t="50000" r="50000" b="50000"/>
          </a:path>
        </a:gra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Osaka"/>
              <a:ea typeface="Osaka"/>
              <a:cs typeface="Osaka"/>
            </a:rPr>
            <a:t>収益印刷</a:t>
          </a:r>
        </a:p>
      </xdr:txBody>
    </xdr:sp>
    <xdr:clientData/>
  </xdr:twoCellAnchor>
  <xdr:twoCellAnchor>
    <xdr:from>
      <xdr:col>7</xdr:col>
      <xdr:colOff>866775</xdr:colOff>
      <xdr:row>0</xdr:row>
      <xdr:rowOff>219075</xdr:rowOff>
    </xdr:from>
    <xdr:to>
      <xdr:col>8</xdr:col>
      <xdr:colOff>733425</xdr:colOff>
      <xdr:row>1</xdr:row>
      <xdr:rowOff>276225</xdr:rowOff>
    </xdr:to>
    <xdr:sp macro="[0]!演算のみ">
      <xdr:nvSpPr>
        <xdr:cNvPr id="11" name="テキスト 2"/>
        <xdr:cNvSpPr>
          <a:spLocks/>
        </xdr:cNvSpPr>
      </xdr:nvSpPr>
      <xdr:spPr>
        <a:xfrm>
          <a:off x="9267825" y="219075"/>
          <a:ext cx="1066800" cy="438150"/>
        </a:xfrm>
        <a:prstGeom prst="roundRect">
          <a:avLst/>
        </a:prstGeom>
        <a:gradFill rotWithShape="1">
          <a:gsLst>
            <a:gs pos="0">
              <a:srgbClr val="10100D"/>
            </a:gs>
            <a:gs pos="100000">
              <a:srgbClr val="FFFFCC"/>
            </a:gs>
          </a:gsLst>
          <a:lin ang="18900000" scaled="1"/>
        </a:gra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Osaka"/>
              <a:ea typeface="Osaka"/>
              <a:cs typeface="Osaka"/>
            </a:rPr>
            <a:t>全体演算</a:t>
          </a:r>
        </a:p>
      </xdr:txBody>
    </xdr:sp>
    <xdr:clientData/>
  </xdr:twoCellAnchor>
  <xdr:twoCellAnchor>
    <xdr:from>
      <xdr:col>7</xdr:col>
      <xdr:colOff>828675</xdr:colOff>
      <xdr:row>2</xdr:row>
      <xdr:rowOff>257175</xdr:rowOff>
    </xdr:from>
    <xdr:to>
      <xdr:col>8</xdr:col>
      <xdr:colOff>714375</xdr:colOff>
      <xdr:row>3</xdr:row>
      <xdr:rowOff>276225</xdr:rowOff>
    </xdr:to>
    <xdr:sp macro="[0]!演算印刷">
      <xdr:nvSpPr>
        <xdr:cNvPr id="12" name="テキスト 3" descr="ブーケ"/>
        <xdr:cNvSpPr>
          <a:spLocks/>
        </xdr:cNvSpPr>
      </xdr:nvSpPr>
      <xdr:spPr>
        <a:xfrm>
          <a:off x="9229725" y="1019175"/>
          <a:ext cx="1085850" cy="400050"/>
        </a:xfrm>
        <a:prstGeom prst="roundRect">
          <a:avLst/>
        </a:prstGeom>
        <a:blipFill>
          <a:blip r:embed="rId4"/>
          <a:srcRect/>
          <a:stretch>
            <a:fillRect/>
          </a:stretch>
        </a:blip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Osaka"/>
              <a:ea typeface="Osaka"/>
              <a:cs typeface="Osaka"/>
            </a:rPr>
            <a:t>演算印刷</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447675</xdr:colOff>
      <xdr:row>2</xdr:row>
      <xdr:rowOff>114300</xdr:rowOff>
    </xdr:from>
    <xdr:to>
      <xdr:col>3</xdr:col>
      <xdr:colOff>590550</xdr:colOff>
      <xdr:row>3</xdr:row>
      <xdr:rowOff>238125</xdr:rowOff>
    </xdr:to>
    <xdr:sp macro="[0]!比準表印刷">
      <xdr:nvSpPr>
        <xdr:cNvPr id="1" name="テキスト 1"/>
        <xdr:cNvSpPr>
          <a:spLocks/>
        </xdr:cNvSpPr>
      </xdr:nvSpPr>
      <xdr:spPr>
        <a:xfrm>
          <a:off x="2085975" y="590550"/>
          <a:ext cx="962025" cy="361950"/>
        </a:xfrm>
        <a:prstGeom prst="roundRect">
          <a:avLst/>
        </a:prstGeom>
        <a:solidFill>
          <a:srgbClr val="99CCFF"/>
        </a:solidFill>
        <a:ln w="9525" cmpd="sng">
          <a:solidFill>
            <a:srgbClr val="000000"/>
          </a:solidFill>
          <a:headEnd type="none"/>
          <a:tailEnd type="none"/>
        </a:ln>
      </xdr:spPr>
      <xdr:txBody>
        <a:bodyPr vertOverflow="clip" wrap="square" lIns="27432" tIns="27432" rIns="27432" bIns="27432" anchor="ctr"/>
        <a:p>
          <a:pPr algn="ctr">
            <a:defRPr/>
          </a:pPr>
          <a:r>
            <a:rPr lang="en-US" cap="none" sz="1200" b="0" i="0" u="none" baseline="0">
              <a:solidFill>
                <a:srgbClr val="000000"/>
              </a:solidFill>
              <a:latin typeface="Osaka"/>
              <a:ea typeface="Osaka"/>
              <a:cs typeface="Osaka"/>
            </a:rPr>
            <a:t>比準表印刷</a:t>
          </a:r>
        </a:p>
      </xdr:txBody>
    </xdr:sp>
    <xdr:clientData/>
  </xdr:twoCellAnchor>
  <xdr:oneCellAnchor>
    <xdr:from>
      <xdr:col>12</xdr:col>
      <xdr:colOff>571500</xdr:colOff>
      <xdr:row>2</xdr:row>
      <xdr:rowOff>152400</xdr:rowOff>
    </xdr:from>
    <xdr:ext cx="95250" cy="266700"/>
    <xdr:sp fLocksText="0">
      <xdr:nvSpPr>
        <xdr:cNvPr id="2" name="テキスト 2"/>
        <xdr:cNvSpPr txBox="1">
          <a:spLocks noChangeArrowheads="1"/>
        </xdr:cNvSpPr>
      </xdr:nvSpPr>
      <xdr:spPr>
        <a:xfrm>
          <a:off x="9067800" y="628650"/>
          <a:ext cx="95250" cy="266700"/>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13</xdr:row>
      <xdr:rowOff>28575</xdr:rowOff>
    </xdr:from>
    <xdr:to>
      <xdr:col>1</xdr:col>
      <xdr:colOff>342900</xdr:colOff>
      <xdr:row>14</xdr:row>
      <xdr:rowOff>104775</xdr:rowOff>
    </xdr:to>
    <xdr:sp macro="[0]!演算のみ">
      <xdr:nvSpPr>
        <xdr:cNvPr id="1" name="テキスト 1"/>
        <xdr:cNvSpPr>
          <a:spLocks/>
        </xdr:cNvSpPr>
      </xdr:nvSpPr>
      <xdr:spPr>
        <a:xfrm>
          <a:off x="428625" y="3190875"/>
          <a:ext cx="923925" cy="304800"/>
        </a:xfrm>
        <a:prstGeom prst="roundRect">
          <a:avLst/>
        </a:prstGeom>
        <a:gradFill rotWithShape="1">
          <a:gsLst>
            <a:gs pos="0">
              <a:srgbClr val="FFFF99"/>
            </a:gs>
            <a:gs pos="100000">
              <a:srgbClr val="5C5C37"/>
            </a:gs>
          </a:gsLst>
          <a:lin ang="2700000" scaled="1"/>
        </a:gra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Osaka"/>
              <a:ea typeface="Osaka"/>
              <a:cs typeface="Osaka"/>
            </a:rPr>
            <a:t>全体演算</a:t>
          </a:r>
        </a:p>
      </xdr:txBody>
    </xdr:sp>
    <xdr:clientData/>
  </xdr:twoCellAnchor>
  <xdr:twoCellAnchor>
    <xdr:from>
      <xdr:col>0</xdr:col>
      <xdr:colOff>466725</xdr:colOff>
      <xdr:row>16</xdr:row>
      <xdr:rowOff>95250</xdr:rowOff>
    </xdr:from>
    <xdr:to>
      <xdr:col>1</xdr:col>
      <xdr:colOff>400050</xdr:colOff>
      <xdr:row>17</xdr:row>
      <xdr:rowOff>171450</xdr:rowOff>
    </xdr:to>
    <xdr:sp macro="[0]!演算印刷">
      <xdr:nvSpPr>
        <xdr:cNvPr id="2" name="テキスト 2" descr="ブーケ"/>
        <xdr:cNvSpPr>
          <a:spLocks/>
        </xdr:cNvSpPr>
      </xdr:nvSpPr>
      <xdr:spPr>
        <a:xfrm>
          <a:off x="466725" y="3924300"/>
          <a:ext cx="942975" cy="285750"/>
        </a:xfrm>
        <a:prstGeom prst="roundRect">
          <a:avLst/>
        </a:prstGeom>
        <a:blipFill>
          <a:blip r:embed="rId1"/>
          <a:srcRect/>
          <a:stretch>
            <a:fillRect/>
          </a:stretch>
        </a:blip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Osaka"/>
              <a:ea typeface="Osaka"/>
              <a:cs typeface="Osaka"/>
            </a:rPr>
            <a:t>演算印刷</a:t>
          </a:r>
        </a:p>
      </xdr:txBody>
    </xdr:sp>
    <xdr:clientData/>
  </xdr:twoCellAnchor>
  <xdr:twoCellAnchor>
    <xdr:from>
      <xdr:col>0</xdr:col>
      <xdr:colOff>438150</xdr:colOff>
      <xdr:row>20</xdr:row>
      <xdr:rowOff>57150</xdr:rowOff>
    </xdr:from>
    <xdr:to>
      <xdr:col>1</xdr:col>
      <xdr:colOff>390525</xdr:colOff>
      <xdr:row>21</xdr:row>
      <xdr:rowOff>133350</xdr:rowOff>
    </xdr:to>
    <xdr:sp macro="[0]!比準表印刷">
      <xdr:nvSpPr>
        <xdr:cNvPr id="3" name="テキスト 3" descr="ｽﾃｰｼｮﾅﾘｰ"/>
        <xdr:cNvSpPr>
          <a:spLocks/>
        </xdr:cNvSpPr>
      </xdr:nvSpPr>
      <xdr:spPr>
        <a:xfrm>
          <a:off x="438150" y="4724400"/>
          <a:ext cx="962025" cy="285750"/>
        </a:xfrm>
        <a:prstGeom prst="roundRect">
          <a:avLst/>
        </a:prstGeom>
        <a:blipFill>
          <a:blip r:embed="rId2"/>
          <a:srcRect/>
          <a:stretch>
            <a:fillRect/>
          </a:stretch>
        </a:blip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Osaka"/>
              <a:ea typeface="Osaka"/>
              <a:cs typeface="Osaka"/>
            </a:rPr>
            <a:t>比準表印刷</a:t>
          </a:r>
        </a:p>
      </xdr:txBody>
    </xdr:sp>
    <xdr:clientData/>
  </xdr:twoCellAnchor>
  <xdr:oneCellAnchor>
    <xdr:from>
      <xdr:col>0</xdr:col>
      <xdr:colOff>714375</xdr:colOff>
      <xdr:row>21</xdr:row>
      <xdr:rowOff>161925</xdr:rowOff>
    </xdr:from>
    <xdr:ext cx="66675" cy="200025"/>
    <xdr:sp fLocksText="0">
      <xdr:nvSpPr>
        <xdr:cNvPr id="4" name="テキスト 7"/>
        <xdr:cNvSpPr txBox="1">
          <a:spLocks noChangeArrowheads="1"/>
        </xdr:cNvSpPr>
      </xdr:nvSpPr>
      <xdr:spPr>
        <a:xfrm>
          <a:off x="714375" y="5038725"/>
          <a:ext cx="66675" cy="20002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0.13775</cdr:x>
      <cdr:y>0.00475</cdr:y>
    </cdr:from>
    <cdr:to>
      <cdr:x>0.6345</cdr:x>
      <cdr:y>0.05025</cdr:y>
    </cdr:to>
    <cdr:sp>
      <cdr:nvSpPr>
        <cdr:cNvPr id="1" name="Text Box 1"/>
        <cdr:cNvSpPr txBox="1">
          <a:spLocks noChangeArrowheads="1"/>
        </cdr:cNvSpPr>
      </cdr:nvSpPr>
      <cdr:spPr>
        <a:xfrm>
          <a:off x="1390650" y="19050"/>
          <a:ext cx="5038725" cy="200025"/>
        </a:xfrm>
        <a:prstGeom prst="rect">
          <a:avLst/>
        </a:prstGeom>
        <a:noFill/>
        <a:ln w="9525" cmpd="sng">
          <a:noFill/>
        </a:ln>
      </cdr:spPr>
      <cdr:txBody>
        <a:bodyPr vertOverflow="clip" wrap="square" lIns="18288" tIns="18288" rIns="0" bIns="0">
          <a:spAutoFit/>
        </a:bodyPr>
        <a:p>
          <a:pPr algn="l">
            <a:defRPr/>
          </a:pPr>
          <a:r>
            <a:rPr lang="en-US" cap="none" sz="1000" b="0" i="1" u="none" baseline="0">
              <a:solidFill>
                <a:srgbClr val="000000"/>
              </a:solidFill>
              <a:latin typeface="平成明朝"/>
              <a:ea typeface="平成明朝"/>
              <a:cs typeface="平成明朝"/>
            </a:rPr>
            <a:t>（参考資料）</a:t>
          </a:r>
          <a:r>
            <a:rPr lang="en-US" cap="none" sz="1400" b="0" i="1" u="none" baseline="0">
              <a:solidFill>
                <a:srgbClr val="000000"/>
              </a:solidFill>
              <a:latin typeface="平成明朝"/>
              <a:ea typeface="平成明朝"/>
              <a:cs typeface="平成明朝"/>
            </a:rPr>
            <a:t>リニア比準表の距離条件について格差評点のグラフ表示</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12</xdr:row>
      <xdr:rowOff>95250</xdr:rowOff>
    </xdr:from>
    <xdr:to>
      <xdr:col>9</xdr:col>
      <xdr:colOff>809625</xdr:colOff>
      <xdr:row>35</xdr:row>
      <xdr:rowOff>114300</xdr:rowOff>
    </xdr:to>
    <xdr:graphicFrame>
      <xdr:nvGraphicFramePr>
        <xdr:cNvPr id="1" name="グラフ 1"/>
        <xdr:cNvGraphicFramePr/>
      </xdr:nvGraphicFramePr>
      <xdr:xfrm>
        <a:off x="104775" y="2838450"/>
        <a:ext cx="10134600" cy="4400550"/>
      </xdr:xfrm>
      <a:graphic>
        <a:graphicData uri="http://schemas.openxmlformats.org/drawingml/2006/chart">
          <c:chart xmlns:c="http://schemas.openxmlformats.org/drawingml/2006/chart" r:id="rId1"/>
        </a:graphicData>
      </a:graphic>
    </xdr:graphicFrame>
    <xdr:clientData/>
  </xdr:twoCellAnchor>
  <xdr:oneCellAnchor>
    <xdr:from>
      <xdr:col>0</xdr:col>
      <xdr:colOff>314325</xdr:colOff>
      <xdr:row>13</xdr:row>
      <xdr:rowOff>66675</xdr:rowOff>
    </xdr:from>
    <xdr:ext cx="914400" cy="180975"/>
    <xdr:sp>
      <xdr:nvSpPr>
        <xdr:cNvPr id="2" name="Text Box 2"/>
        <xdr:cNvSpPr txBox="1">
          <a:spLocks noChangeArrowheads="1"/>
        </xdr:cNvSpPr>
      </xdr:nvSpPr>
      <xdr:spPr>
        <a:xfrm>
          <a:off x="314325" y="3000375"/>
          <a:ext cx="914400" cy="180975"/>
        </a:xfrm>
        <a:prstGeom prst="rect">
          <a:avLst/>
        </a:prstGeom>
        <a:noFill/>
        <a:ln w="9525" cmpd="sng">
          <a:noFill/>
        </a:ln>
      </xdr:spPr>
      <xdr:txBody>
        <a:bodyPr vertOverflow="clip" wrap="square" lIns="18288" tIns="27432" rIns="0" bIns="0">
          <a:spAutoFit/>
        </a:bodyPr>
        <a:p>
          <a:pPr algn="l">
            <a:defRPr/>
          </a:pPr>
          <a:r>
            <a:rPr lang="en-US" cap="none" sz="1200" b="0" i="1" u="none" baseline="0">
              <a:solidFill>
                <a:srgbClr val="000000"/>
              </a:solidFill>
              <a:latin typeface="平成明朝"/>
              <a:ea typeface="平成明朝"/>
              <a:cs typeface="平成明朝"/>
            </a:rPr>
            <a:t>【</a:t>
          </a:r>
          <a:r>
            <a:rPr lang="en-US" cap="none" sz="1200" b="0" i="1" u="none" baseline="0">
              <a:solidFill>
                <a:srgbClr val="000000"/>
              </a:solidFill>
              <a:latin typeface="平成明朝"/>
              <a:ea typeface="平成明朝"/>
              <a:cs typeface="平成明朝"/>
            </a:rPr>
            <a:t>格差評点</a:t>
          </a:r>
          <a:r>
            <a:rPr lang="en-US" cap="none" sz="1200" b="0" i="1" u="none" baseline="0">
              <a:solidFill>
                <a:srgbClr val="000000"/>
              </a:solidFill>
              <a:latin typeface="平成明朝"/>
              <a:ea typeface="平成明朝"/>
              <a:cs typeface="平成明朝"/>
            </a:rPr>
            <a:t>】</a:t>
          </a:r>
        </a:p>
      </xdr:txBody>
    </xdr:sp>
    <xdr:clientData/>
  </xdr:oneCellAnchor>
  <xdr:oneCellAnchor>
    <xdr:from>
      <xdr:col>3</xdr:col>
      <xdr:colOff>628650</xdr:colOff>
      <xdr:row>36</xdr:row>
      <xdr:rowOff>0</xdr:rowOff>
    </xdr:from>
    <xdr:ext cx="95250" cy="209550"/>
    <xdr:sp fLocksText="0">
      <xdr:nvSpPr>
        <xdr:cNvPr id="3" name="Text Box 3"/>
        <xdr:cNvSpPr txBox="1">
          <a:spLocks noChangeArrowheads="1"/>
        </xdr:cNvSpPr>
      </xdr:nvSpPr>
      <xdr:spPr>
        <a:xfrm>
          <a:off x="3771900" y="7362825"/>
          <a:ext cx="95250" cy="209550"/>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Sheet1"/>
  <dimension ref="A1:AP192"/>
  <sheetViews>
    <sheetView showZeros="0" tabSelected="1" zoomScale="125" zoomScaleNormal="125" workbookViewId="0" topLeftCell="A1">
      <selection activeCell="A13" sqref="A13"/>
    </sheetView>
  </sheetViews>
  <sheetFormatPr defaultColWidth="10.59765625" defaultRowHeight="15"/>
  <cols>
    <col min="1" max="8" width="12.59765625" style="52" customWidth="1"/>
    <col min="9" max="19" width="10.59765625" style="52" customWidth="1"/>
    <col min="20" max="20" width="10.59765625" style="57" customWidth="1"/>
    <col min="21" max="21" width="10.59765625" style="1257" customWidth="1"/>
    <col min="22" max="26" width="8.59765625" style="1257" customWidth="1"/>
    <col min="27" max="27" width="12.59765625" style="1257" customWidth="1"/>
    <col min="28" max="29" width="8.59765625" style="1257" customWidth="1"/>
    <col min="30" max="31" width="14.59765625" style="1257" customWidth="1"/>
    <col min="32" max="40" width="10.59765625" style="1257" customWidth="1"/>
    <col min="41" max="42" width="10.59765625" style="1149" customWidth="1"/>
    <col min="43" max="16384" width="10.59765625" style="57" customWidth="1"/>
  </cols>
  <sheetData>
    <row r="1" spans="1:42" s="55" customFormat="1" ht="30" customHeight="1" thickBot="1">
      <c r="A1" s="1418" t="s">
        <v>1289</v>
      </c>
      <c r="B1" s="1419"/>
      <c r="C1" s="549"/>
      <c r="D1" s="549"/>
      <c r="E1" s="1419"/>
      <c r="F1" s="1419"/>
      <c r="G1" s="1419"/>
      <c r="H1" s="549"/>
      <c r="I1" s="549"/>
      <c r="J1" s="549"/>
      <c r="K1" s="549"/>
      <c r="L1" s="549"/>
      <c r="M1" s="549"/>
      <c r="N1" s="549"/>
      <c r="O1" s="549"/>
      <c r="P1" s="549"/>
      <c r="Q1" s="1419"/>
      <c r="R1" s="1419"/>
      <c r="S1" s="1419"/>
      <c r="T1" s="54"/>
      <c r="U1" s="1152" t="s">
        <v>826</v>
      </c>
      <c r="V1" s="1153" t="s">
        <v>693</v>
      </c>
      <c r="W1" s="1153"/>
      <c r="X1" s="1153" t="s">
        <v>267</v>
      </c>
      <c r="Y1" s="1153"/>
      <c r="Z1" s="1153"/>
      <c r="AA1" s="1153"/>
      <c r="AB1" s="1153"/>
      <c r="AC1" s="1153"/>
      <c r="AD1" s="1154">
        <f>F27</f>
        <v>1</v>
      </c>
      <c r="AE1" s="1152" t="s">
        <v>668</v>
      </c>
      <c r="AF1" s="1152" t="s">
        <v>287</v>
      </c>
      <c r="AG1" s="1153"/>
      <c r="AH1" s="1153"/>
      <c r="AI1" s="1153"/>
      <c r="AJ1" s="1153"/>
      <c r="AK1" s="1153"/>
      <c r="AL1" s="1153"/>
      <c r="AM1" s="1154">
        <f>F27+1</f>
        <v>2</v>
      </c>
      <c r="AN1" s="1155"/>
      <c r="AO1" s="1148"/>
      <c r="AP1" s="1148"/>
    </row>
    <row r="2" spans="1:42" s="55" customFormat="1" ht="30" customHeight="1" thickBot="1" thickTop="1">
      <c r="A2" s="1418" t="s">
        <v>25</v>
      </c>
      <c r="B2" s="1419"/>
      <c r="C2" s="549"/>
      <c r="D2" s="549"/>
      <c r="E2" s="1419"/>
      <c r="F2" s="1419"/>
      <c r="G2" s="1419"/>
      <c r="H2" s="549"/>
      <c r="I2" s="549"/>
      <c r="J2" s="549"/>
      <c r="K2" s="549"/>
      <c r="L2" s="549"/>
      <c r="M2" s="549"/>
      <c r="N2" s="549"/>
      <c r="O2" s="549"/>
      <c r="P2" s="549"/>
      <c r="Q2" s="1419"/>
      <c r="R2" s="1419"/>
      <c r="S2" s="1419"/>
      <c r="T2" s="54"/>
      <c r="U2" s="1156" t="s">
        <v>670</v>
      </c>
      <c r="V2" s="1157"/>
      <c r="W2" s="1372" t="str">
        <f>"鑑第岐 "&amp;A27&amp;" 号"</f>
        <v>鑑第岐 99999 号</v>
      </c>
      <c r="X2" s="1373"/>
      <c r="Y2" s="1373"/>
      <c r="Z2" s="1374">
        <f>B27</f>
        <v>1</v>
      </c>
      <c r="AA2" s="1153"/>
      <c r="AB2" s="1153" t="s">
        <v>806</v>
      </c>
      <c r="AC2" s="1153"/>
      <c r="AD2" s="1153"/>
      <c r="AE2" s="1153"/>
      <c r="AF2" s="1153"/>
      <c r="AG2" s="1153"/>
      <c r="AH2" s="1153"/>
      <c r="AI2" s="1153"/>
      <c r="AJ2" s="1153"/>
      <c r="AK2" s="1153"/>
      <c r="AL2" s="1153"/>
      <c r="AM2" s="1153"/>
      <c r="AN2" s="1155"/>
      <c r="AO2" s="1148"/>
      <c r="AP2" s="1148"/>
    </row>
    <row r="3" spans="1:42" s="55" customFormat="1" ht="30" customHeight="1" thickTop="1">
      <c r="A3" s="1418" t="s">
        <v>1319</v>
      </c>
      <c r="B3" s="1419"/>
      <c r="C3" s="549"/>
      <c r="D3" s="549"/>
      <c r="E3" s="1419"/>
      <c r="F3" s="1419"/>
      <c r="G3" s="1419"/>
      <c r="H3" s="549"/>
      <c r="I3" s="549"/>
      <c r="J3" s="549"/>
      <c r="K3" s="549"/>
      <c r="L3" s="549"/>
      <c r="M3" s="549"/>
      <c r="N3" s="549"/>
      <c r="O3" s="549"/>
      <c r="P3" s="549"/>
      <c r="Q3" s="1419"/>
      <c r="R3" s="1419"/>
      <c r="S3" s="1419"/>
      <c r="T3" s="54"/>
      <c r="U3" s="1159" t="str">
        <f>A33</f>
        <v>価格時点</v>
      </c>
      <c r="V3" s="1160"/>
      <c r="W3" s="1375">
        <f>B33</f>
        <v>36250</v>
      </c>
      <c r="X3" s="1376"/>
      <c r="Y3" s="1376"/>
      <c r="Z3" s="1377"/>
      <c r="AA3" s="1161"/>
      <c r="AB3" s="1162" t="s">
        <v>1302</v>
      </c>
      <c r="AC3" s="1163"/>
      <c r="AD3" s="1164" t="s">
        <v>268</v>
      </c>
      <c r="AE3" s="1165" t="str">
        <f>A26</f>
        <v>鑑定番号</v>
      </c>
      <c r="AF3" s="1166"/>
      <c r="AG3" s="1167" t="str">
        <f>"鑑第岐 "&amp;A27&amp;" 号"</f>
        <v>鑑第岐 99999 号</v>
      </c>
      <c r="AH3" s="1166"/>
      <c r="AI3" s="1168" t="str">
        <f>B26</f>
        <v>物件番号</v>
      </c>
      <c r="AJ3" s="1169">
        <f>B27</f>
        <v>1</v>
      </c>
      <c r="AK3" s="1170"/>
      <c r="AL3" s="1171" t="s">
        <v>285</v>
      </c>
      <c r="AM3" s="1172" t="s">
        <v>285</v>
      </c>
      <c r="AN3" s="1155"/>
      <c r="AO3" s="1148"/>
      <c r="AP3" s="1148"/>
    </row>
    <row r="4" spans="1:42" s="55" customFormat="1" ht="30" customHeight="1" thickBot="1">
      <c r="A4" s="1418" t="s">
        <v>23</v>
      </c>
      <c r="B4" s="1419"/>
      <c r="C4" s="549"/>
      <c r="D4" s="549"/>
      <c r="E4" s="1419"/>
      <c r="F4" s="1419"/>
      <c r="G4" s="1419"/>
      <c r="H4" s="549"/>
      <c r="I4" s="549"/>
      <c r="J4" s="549"/>
      <c r="K4" s="549"/>
      <c r="L4" s="549"/>
      <c r="M4" s="549"/>
      <c r="N4" s="549"/>
      <c r="O4" s="549"/>
      <c r="P4" s="549"/>
      <c r="Q4" s="1419"/>
      <c r="R4" s="1419"/>
      <c r="S4" s="1419"/>
      <c r="T4" s="54"/>
      <c r="U4" s="1159" t="s">
        <v>890</v>
      </c>
      <c r="V4" s="1160"/>
      <c r="W4" s="1378">
        <f>E29</f>
        <v>255.69</v>
      </c>
      <c r="X4" s="1379"/>
      <c r="Y4" s="1379"/>
      <c r="Z4" s="1377"/>
      <c r="AA4" s="1161"/>
      <c r="AB4" s="1387" t="str">
        <f>C34</f>
        <v>直前公示等基準日～価格時点</v>
      </c>
      <c r="AC4" s="557"/>
      <c r="AD4" s="1385">
        <f>IF(F34=0,"０.0％",F34)</f>
        <v>-2.47</v>
      </c>
      <c r="AE4" s="1173" t="str">
        <f>C26</f>
        <v>価格時点</v>
      </c>
      <c r="AF4" s="1174"/>
      <c r="AG4" s="1175">
        <f>C27</f>
        <v>36250</v>
      </c>
      <c r="AH4" s="1176"/>
      <c r="AI4" s="1177"/>
      <c r="AJ4" s="1177"/>
      <c r="AK4" s="1178"/>
      <c r="AL4" s="1171" t="s">
        <v>285</v>
      </c>
      <c r="AM4" s="1179" t="s">
        <v>285</v>
      </c>
      <c r="AN4" s="1155"/>
      <c r="AO4" s="1148"/>
      <c r="AP4" s="1148"/>
    </row>
    <row r="5" spans="1:42" s="55" customFormat="1" ht="30" customHeight="1" thickTop="1">
      <c r="A5" s="1418" t="s">
        <v>24</v>
      </c>
      <c r="B5" s="1419"/>
      <c r="C5" s="549"/>
      <c r="D5" s="549"/>
      <c r="E5" s="1419"/>
      <c r="F5" s="1419"/>
      <c r="G5" s="1419"/>
      <c r="H5" s="549"/>
      <c r="I5" s="549"/>
      <c r="J5" s="549"/>
      <c r="K5" s="549"/>
      <c r="L5" s="549"/>
      <c r="M5" s="549"/>
      <c r="N5" s="549"/>
      <c r="O5" s="549"/>
      <c r="P5" s="549"/>
      <c r="Q5" s="1419"/>
      <c r="R5" s="1419"/>
      <c r="S5" s="1419"/>
      <c r="T5" s="54"/>
      <c r="U5" s="1159" t="s">
        <v>632</v>
      </c>
      <c r="V5" s="1160"/>
      <c r="W5" s="1380">
        <f>E51/1000</f>
        <v>24929</v>
      </c>
      <c r="X5" s="1381"/>
      <c r="Y5" s="1381"/>
      <c r="Z5" s="1377"/>
      <c r="AA5" s="1161"/>
      <c r="AB5" s="1387" t="str">
        <f>C35</f>
        <v>直前公示等基準日の前１年間</v>
      </c>
      <c r="AC5" s="557"/>
      <c r="AD5" s="1385">
        <f>IF(F35=0,"０.0％",F35)</f>
        <v>-10</v>
      </c>
      <c r="AE5" s="1180"/>
      <c r="AF5" s="1181"/>
      <c r="AG5" s="1181"/>
      <c r="AH5" s="1180"/>
      <c r="AI5" s="1180"/>
      <c r="AJ5" s="1161" t="s">
        <v>269</v>
      </c>
      <c r="AK5" s="1161"/>
      <c r="AL5" s="1161"/>
      <c r="AM5" s="1161"/>
      <c r="AN5" s="1155"/>
      <c r="AO5" s="1148"/>
      <c r="AP5" s="1148"/>
    </row>
    <row r="6" spans="1:42" s="55" customFormat="1" ht="30" customHeight="1" thickBot="1">
      <c r="A6" s="1418" t="s">
        <v>26</v>
      </c>
      <c r="B6" s="1419"/>
      <c r="C6" s="549"/>
      <c r="D6" s="549"/>
      <c r="E6" s="1419"/>
      <c r="F6" s="1419"/>
      <c r="G6" s="1419"/>
      <c r="H6" s="549"/>
      <c r="I6" s="549"/>
      <c r="J6" s="549"/>
      <c r="K6" s="549"/>
      <c r="L6" s="549"/>
      <c r="M6" s="549"/>
      <c r="N6" s="549"/>
      <c r="O6" s="549"/>
      <c r="P6" s="549"/>
      <c r="Q6" s="1419"/>
      <c r="R6" s="1419"/>
      <c r="S6" s="1419"/>
      <c r="T6" s="54"/>
      <c r="U6" s="1159" t="s">
        <v>270</v>
      </c>
      <c r="V6" s="1160"/>
      <c r="W6" s="1382">
        <f>E50</f>
        <v>97500</v>
      </c>
      <c r="X6" s="1383"/>
      <c r="Y6" s="1383"/>
      <c r="Z6" s="1377"/>
      <c r="AA6" s="1161"/>
      <c r="AB6" s="1387" t="str">
        <f>C36</f>
        <v>同、前々１年間</v>
      </c>
      <c r="AC6" s="557"/>
      <c r="AD6" s="1385">
        <f>IF(F36=0,"０.0％",F36)</f>
        <v>-8.5</v>
      </c>
      <c r="AE6" s="1161" t="s">
        <v>866</v>
      </c>
      <c r="AF6" s="1161"/>
      <c r="AG6" s="1161"/>
      <c r="AH6" s="1161"/>
      <c r="AI6" s="1161"/>
      <c r="AJ6" s="1161"/>
      <c r="AK6" s="1161"/>
      <c r="AL6" s="1161"/>
      <c r="AM6" s="1161"/>
      <c r="AN6" s="1155"/>
      <c r="AO6" s="1148"/>
      <c r="AP6" s="1148"/>
    </row>
    <row r="7" spans="1:42" s="55" customFormat="1" ht="30" customHeight="1" thickBot="1" thickTop="1">
      <c r="A7" s="1418" t="s">
        <v>27</v>
      </c>
      <c r="B7" s="1419"/>
      <c r="C7" s="549"/>
      <c r="D7" s="549"/>
      <c r="E7" s="1419"/>
      <c r="F7" s="1419"/>
      <c r="G7" s="1419"/>
      <c r="H7" s="549"/>
      <c r="I7" s="549"/>
      <c r="J7" s="549"/>
      <c r="K7" s="549"/>
      <c r="L7" s="549"/>
      <c r="M7" s="549"/>
      <c r="N7" s="549"/>
      <c r="O7" s="549"/>
      <c r="P7" s="549"/>
      <c r="Q7" s="1419"/>
      <c r="R7" s="1419"/>
      <c r="S7" s="1419"/>
      <c r="T7" s="54"/>
      <c r="U7" s="1182" t="str">
        <f>E40</f>
        <v>標準画地価格</v>
      </c>
      <c r="V7" s="1183"/>
      <c r="W7" s="1384">
        <f>E41</f>
        <v>95600</v>
      </c>
      <c r="X7" s="1184"/>
      <c r="Y7" s="1184"/>
      <c r="Z7" s="1184"/>
      <c r="AA7" s="1161"/>
      <c r="AB7" s="551" t="str">
        <f>C37</f>
        <v>同、前々々１年間</v>
      </c>
      <c r="AC7" s="552"/>
      <c r="AD7" s="1386">
        <f>IF(F37=0,"０.0％",F37)</f>
        <v>-7</v>
      </c>
      <c r="AE7" s="1186" t="str">
        <f>C33</f>
        <v>判定期間入力</v>
      </c>
      <c r="AF7" s="1187" t="str">
        <f>C34</f>
        <v>直前公示等基準日～価格時点</v>
      </c>
      <c r="AG7" s="1163"/>
      <c r="AH7" s="1187" t="str">
        <f>C35</f>
        <v>直前公示等基準日の前１年間</v>
      </c>
      <c r="AI7" s="1163"/>
      <c r="AJ7" s="1187" t="str">
        <f>C36</f>
        <v>同、前々１年間</v>
      </c>
      <c r="AK7" s="1163"/>
      <c r="AL7" s="1187" t="str">
        <f>C37</f>
        <v>同、前々々１年間</v>
      </c>
      <c r="AM7" s="1188"/>
      <c r="AN7" s="1155"/>
      <c r="AO7" s="1148"/>
      <c r="AP7" s="1148"/>
    </row>
    <row r="8" spans="1:42" s="55" customFormat="1" ht="30" customHeight="1" thickBot="1" thickTop="1">
      <c r="A8" s="1418" t="s">
        <v>1173</v>
      </c>
      <c r="B8" s="1419"/>
      <c r="C8" s="549"/>
      <c r="D8" s="549"/>
      <c r="E8" s="1419"/>
      <c r="F8" s="1419"/>
      <c r="G8" s="1419"/>
      <c r="H8" s="549"/>
      <c r="I8" s="549"/>
      <c r="J8" s="549"/>
      <c r="K8" s="549"/>
      <c r="L8" s="549"/>
      <c r="M8" s="549"/>
      <c r="N8" s="549"/>
      <c r="O8" s="549"/>
      <c r="P8" s="549"/>
      <c r="Q8" s="1419"/>
      <c r="R8" s="1419"/>
      <c r="S8" s="1419"/>
      <c r="T8" s="54"/>
      <c r="U8" s="1189" t="str">
        <f>A52</f>
        <v>※評価額は、中庸査定値にて査定する。</v>
      </c>
      <c r="V8" s="1190"/>
      <c r="W8" s="1191"/>
      <c r="X8" s="1192"/>
      <c r="Y8" s="1192"/>
      <c r="Z8" s="1193" t="s">
        <v>271</v>
      </c>
      <c r="AA8" s="1161"/>
      <c r="AB8" s="1190"/>
      <c r="AC8" s="1190"/>
      <c r="AD8" s="1194"/>
      <c r="AE8" s="1195" t="s">
        <v>268</v>
      </c>
      <c r="AF8" s="1196">
        <f>IF(F34=0,"0.0％",F34)</f>
        <v>-2.47</v>
      </c>
      <c r="AG8" s="1197" t="s">
        <v>1105</v>
      </c>
      <c r="AH8" s="1196">
        <f>IF(F35=0,"0.0％",F35)</f>
        <v>-10</v>
      </c>
      <c r="AI8" s="1198" t="s">
        <v>1262</v>
      </c>
      <c r="AJ8" s="1196">
        <f>IF(F36=0,"0.0％",F36)</f>
        <v>-8.5</v>
      </c>
      <c r="AK8" s="1197" t="s">
        <v>1125</v>
      </c>
      <c r="AL8" s="1196">
        <f>IF(F37=0,"0.0％",F37)</f>
        <v>-7</v>
      </c>
      <c r="AM8" s="1199" t="s">
        <v>799</v>
      </c>
      <c r="AN8" s="1155"/>
      <c r="AO8" s="1148"/>
      <c r="AP8" s="1148"/>
    </row>
    <row r="9" spans="1:42" s="55" customFormat="1" ht="30" customHeight="1" thickBot="1" thickTop="1">
      <c r="A9" s="1418" t="s">
        <v>28</v>
      </c>
      <c r="B9" s="1419"/>
      <c r="C9" s="549"/>
      <c r="D9" s="549"/>
      <c r="E9" s="1419"/>
      <c r="F9" s="1419"/>
      <c r="G9" s="1419"/>
      <c r="H9" s="549"/>
      <c r="I9" s="549"/>
      <c r="J9" s="549"/>
      <c r="K9" s="549"/>
      <c r="L9" s="549"/>
      <c r="M9" s="549"/>
      <c r="N9" s="549"/>
      <c r="O9" s="549"/>
      <c r="P9" s="549"/>
      <c r="Q9" s="1419"/>
      <c r="R9" s="1419"/>
      <c r="S9" s="1419"/>
      <c r="T9" s="54"/>
      <c r="U9" s="1165" t="s">
        <v>375</v>
      </c>
      <c r="V9" s="1910" t="s">
        <v>1124</v>
      </c>
      <c r="W9" s="1911"/>
      <c r="X9" s="1912"/>
      <c r="Y9" s="1167" t="s">
        <v>1081</v>
      </c>
      <c r="Z9" s="1167"/>
      <c r="AA9" s="1201" t="s">
        <v>1133</v>
      </c>
      <c r="AB9" s="1202" t="s">
        <v>954</v>
      </c>
      <c r="AC9" s="1203"/>
      <c r="AD9" s="1204"/>
      <c r="AE9" s="1205" t="s">
        <v>285</v>
      </c>
      <c r="AF9" s="1196">
        <f>IF(E34=0,"0.0％",E34)</f>
        <v>-10</v>
      </c>
      <c r="AG9" s="1185" t="s">
        <v>272</v>
      </c>
      <c r="AH9" s="1206" t="s">
        <v>669</v>
      </c>
      <c r="AI9" s="1185"/>
      <c r="AJ9" s="1206" t="s">
        <v>669</v>
      </c>
      <c r="AK9" s="1185"/>
      <c r="AL9" s="1206" t="s">
        <v>669</v>
      </c>
      <c r="AM9" s="1207"/>
      <c r="AN9" s="1155"/>
      <c r="AO9" s="1148"/>
      <c r="AP9" s="1148"/>
    </row>
    <row r="10" spans="1:42" s="55" customFormat="1" ht="30" customHeight="1" thickTop="1">
      <c r="A10" s="1418" t="s">
        <v>996</v>
      </c>
      <c r="B10" s="1419"/>
      <c r="C10" s="549"/>
      <c r="D10" s="549"/>
      <c r="E10" s="1419"/>
      <c r="F10" s="1419"/>
      <c r="G10" s="1419"/>
      <c r="H10" s="549"/>
      <c r="I10" s="549"/>
      <c r="J10" s="549"/>
      <c r="K10" s="549"/>
      <c r="L10" s="549"/>
      <c r="M10" s="549"/>
      <c r="N10" s="549"/>
      <c r="O10" s="549"/>
      <c r="P10" s="549"/>
      <c r="Q10" s="1419"/>
      <c r="R10" s="1419"/>
      <c r="S10" s="1419"/>
      <c r="T10" s="54"/>
      <c r="U10" s="1208" t="s">
        <v>425</v>
      </c>
      <c r="V10" s="1913">
        <f>E45</f>
        <v>100300</v>
      </c>
      <c r="W10" s="1914"/>
      <c r="X10" s="1915"/>
      <c r="Y10" s="1370">
        <f>F45</f>
        <v>1.0287179487179487</v>
      </c>
      <c r="Z10" s="1370"/>
      <c r="AA10" s="1209" t="str">
        <f>"加重 "&amp;B47</f>
        <v>加重 3</v>
      </c>
      <c r="AB10" s="1210" t="s">
        <v>426</v>
      </c>
      <c r="AC10" s="1211"/>
      <c r="AD10" s="1388">
        <f>B46</f>
        <v>0.97</v>
      </c>
      <c r="AE10" s="1212" t="s">
        <v>1197</v>
      </c>
      <c r="AF10" s="1213" t="s">
        <v>448</v>
      </c>
      <c r="AG10" s="1214"/>
      <c r="AH10" s="1214"/>
      <c r="AI10" s="1160"/>
      <c r="AJ10" s="1215"/>
      <c r="AK10" s="1920" t="str">
        <f>A34</f>
        <v>直前公示等基準日</v>
      </c>
      <c r="AL10" s="1921"/>
      <c r="AM10" s="1216">
        <f>B34</f>
        <v>36160</v>
      </c>
      <c r="AN10" s="1155"/>
      <c r="AO10" s="1148"/>
      <c r="AP10" s="1148"/>
    </row>
    <row r="11" spans="1:42" s="55" customFormat="1" ht="30" customHeight="1">
      <c r="A11" s="1418" t="s">
        <v>29</v>
      </c>
      <c r="B11" s="1419"/>
      <c r="C11" s="549"/>
      <c r="D11" s="549"/>
      <c r="E11" s="1419"/>
      <c r="F11" s="1419"/>
      <c r="G11" s="1419"/>
      <c r="H11" s="549"/>
      <c r="I11" s="549"/>
      <c r="J11" s="549"/>
      <c r="K11" s="549"/>
      <c r="L11" s="549"/>
      <c r="M11" s="549"/>
      <c r="N11" s="549"/>
      <c r="O11" s="549"/>
      <c r="P11" s="549"/>
      <c r="Q11" s="1419"/>
      <c r="R11" s="1419"/>
      <c r="S11" s="1419"/>
      <c r="T11" s="54"/>
      <c r="U11" s="1208" t="s">
        <v>1084</v>
      </c>
      <c r="V11" s="1913">
        <f>E48</f>
        <v>89800</v>
      </c>
      <c r="W11" s="1914"/>
      <c r="X11" s="1915"/>
      <c r="Y11" s="1370">
        <f>F48</f>
        <v>0.921025641025641</v>
      </c>
      <c r="Z11" s="1370"/>
      <c r="AA11" s="1217" t="str">
        <f>IF(B48=0,"加重 0","加重 "&amp;B48)</f>
        <v>加重 1</v>
      </c>
      <c r="AB11" s="1219" t="s">
        <v>625</v>
      </c>
      <c r="AC11" s="1220"/>
      <c r="AD11" s="1221"/>
      <c r="AE11" s="1222"/>
      <c r="AF11" s="1223" t="s">
        <v>1065</v>
      </c>
      <c r="AG11" s="1160"/>
      <c r="AH11" s="1160"/>
      <c r="AI11" s="1160"/>
      <c r="AJ11" s="1215"/>
      <c r="AK11" s="1937" t="s">
        <v>1066</v>
      </c>
      <c r="AL11" s="1938"/>
      <c r="AM11" s="1224">
        <f>B36</f>
        <v>90</v>
      </c>
      <c r="AN11" s="1155"/>
      <c r="AO11" s="1148"/>
      <c r="AP11" s="1148"/>
    </row>
    <row r="12" spans="1:42" s="55" customFormat="1" ht="30" customHeight="1" thickBot="1">
      <c r="A12" s="549" t="s">
        <v>30</v>
      </c>
      <c r="B12" s="1419"/>
      <c r="C12" s="549"/>
      <c r="D12" s="549"/>
      <c r="E12" s="1419"/>
      <c r="F12" s="1419"/>
      <c r="G12" s="1419"/>
      <c r="H12" s="549"/>
      <c r="I12" s="549"/>
      <c r="J12" s="549"/>
      <c r="K12" s="549"/>
      <c r="L12" s="549"/>
      <c r="M12" s="549"/>
      <c r="N12" s="549"/>
      <c r="O12" s="549"/>
      <c r="P12" s="549"/>
      <c r="Q12" s="1419"/>
      <c r="R12" s="1419"/>
      <c r="S12" s="1419"/>
      <c r="T12" s="54"/>
      <c r="U12" s="1208" t="str">
        <f>D49</f>
        <v>開発法価格</v>
      </c>
      <c r="V12" s="1913">
        <f>E49</f>
        <v>0</v>
      </c>
      <c r="W12" s="1914"/>
      <c r="X12" s="1915"/>
      <c r="Y12" s="1370">
        <f>IF(E49=0,0,F49)</f>
        <v>0</v>
      </c>
      <c r="Z12" s="1370"/>
      <c r="AA12" s="1209" t="s">
        <v>1067</v>
      </c>
      <c r="AB12" s="1219" t="s">
        <v>641</v>
      </c>
      <c r="AC12" s="1220"/>
      <c r="AD12" s="1221"/>
      <c r="AE12" s="1225"/>
      <c r="AF12" s="1226" t="s">
        <v>105</v>
      </c>
      <c r="AG12" s="1174"/>
      <c r="AH12" s="1174"/>
      <c r="AI12" s="1174"/>
      <c r="AJ12" s="1227"/>
      <c r="AK12" s="1227"/>
      <c r="AL12" s="1174"/>
      <c r="AM12" s="1228"/>
      <c r="AN12" s="1155"/>
      <c r="AO12" s="1148"/>
      <c r="AP12" s="1148"/>
    </row>
    <row r="13" spans="1:42" s="55" customFormat="1" ht="30" customHeight="1" thickTop="1">
      <c r="A13" s="1420" t="s">
        <v>913</v>
      </c>
      <c r="B13" s="1421" t="s">
        <v>14</v>
      </c>
      <c r="C13" s="1422" t="s">
        <v>914</v>
      </c>
      <c r="D13" s="1423" t="s">
        <v>241</v>
      </c>
      <c r="E13" s="1424" t="s">
        <v>915</v>
      </c>
      <c r="F13" s="1425">
        <v>36250</v>
      </c>
      <c r="G13" s="1422" t="s">
        <v>106</v>
      </c>
      <c r="H13" s="1426">
        <f>B40</f>
        <v>100300</v>
      </c>
      <c r="I13" s="549"/>
      <c r="J13" s="549"/>
      <c r="K13" s="549"/>
      <c r="L13" s="549"/>
      <c r="M13" s="549"/>
      <c r="N13" s="549"/>
      <c r="O13" s="549"/>
      <c r="P13" s="549"/>
      <c r="Q13" s="1419"/>
      <c r="R13" s="1419"/>
      <c r="S13" s="1419"/>
      <c r="T13" s="54"/>
      <c r="U13" s="1208" t="s">
        <v>916</v>
      </c>
      <c r="V13" s="1913">
        <f>E46</f>
        <v>98700</v>
      </c>
      <c r="W13" s="1914"/>
      <c r="X13" s="1915"/>
      <c r="Y13" s="1370">
        <f>F46</f>
        <v>1.0123076923076924</v>
      </c>
      <c r="Z13" s="1370"/>
      <c r="AA13" s="1229" t="s">
        <v>917</v>
      </c>
      <c r="AB13" s="1230" t="s">
        <v>1071</v>
      </c>
      <c r="AC13" s="1231"/>
      <c r="AD13" s="1232"/>
      <c r="AE13" s="1180"/>
      <c r="AF13" s="1190"/>
      <c r="AG13" s="1190"/>
      <c r="AH13" s="1190"/>
      <c r="AI13" s="1190"/>
      <c r="AJ13" s="1190"/>
      <c r="AK13" s="1190"/>
      <c r="AL13" s="1190"/>
      <c r="AM13" s="1190"/>
      <c r="AN13" s="1155"/>
      <c r="AO13" s="1148"/>
      <c r="AP13" s="1148"/>
    </row>
    <row r="14" spans="1:42" s="55" customFormat="1" ht="30" customHeight="1" thickBot="1">
      <c r="A14" s="1424" t="s">
        <v>107</v>
      </c>
      <c r="B14" s="1918" t="s">
        <v>108</v>
      </c>
      <c r="C14" s="1919"/>
      <c r="D14" s="1427" t="s">
        <v>109</v>
      </c>
      <c r="E14" s="1428"/>
      <c r="F14" s="1428"/>
      <c r="G14" s="1428"/>
      <c r="H14" s="1428"/>
      <c r="I14" s="302"/>
      <c r="J14" s="302"/>
      <c r="K14" s="302"/>
      <c r="L14" s="302"/>
      <c r="M14" s="302"/>
      <c r="N14" s="302"/>
      <c r="O14" s="302"/>
      <c r="P14" s="302"/>
      <c r="Q14" s="1429"/>
      <c r="R14" s="1429"/>
      <c r="S14" s="1429"/>
      <c r="T14" s="54"/>
      <c r="U14" s="1233" t="s">
        <v>1327</v>
      </c>
      <c r="V14" s="1929">
        <f>E47</f>
        <v>0</v>
      </c>
      <c r="W14" s="1930"/>
      <c r="X14" s="1931"/>
      <c r="Y14" s="1371">
        <f>F47</f>
        <v>0</v>
      </c>
      <c r="Z14" s="1371"/>
      <c r="AA14" s="1234">
        <f>IF(E48=0,0,B50)</f>
        <v>97700</v>
      </c>
      <c r="AB14" s="1390">
        <f>B49</f>
        <v>97200</v>
      </c>
      <c r="AC14" s="1389"/>
      <c r="AD14" s="1391"/>
      <c r="AE14" s="1161" t="s">
        <v>830</v>
      </c>
      <c r="AF14" s="1161"/>
      <c r="AG14" s="1161"/>
      <c r="AH14" s="1161"/>
      <c r="AI14" s="1161"/>
      <c r="AJ14" s="1161"/>
      <c r="AK14" s="1161"/>
      <c r="AL14" s="1161"/>
      <c r="AM14" s="1161"/>
      <c r="AN14" s="1155"/>
      <c r="AO14" s="1148"/>
      <c r="AP14" s="1148"/>
    </row>
    <row r="15" spans="1:42" s="55" customFormat="1" ht="30" customHeight="1" thickTop="1">
      <c r="A15" s="1430" t="s">
        <v>824</v>
      </c>
      <c r="B15" s="1431"/>
      <c r="C15" s="1429"/>
      <c r="D15" s="1429"/>
      <c r="E15" s="1429"/>
      <c r="F15" s="1429"/>
      <c r="G15" s="1429"/>
      <c r="H15" s="302"/>
      <c r="I15" s="302"/>
      <c r="J15" s="302"/>
      <c r="K15" s="302"/>
      <c r="L15" s="302"/>
      <c r="M15" s="302"/>
      <c r="N15" s="302"/>
      <c r="O15" s="302"/>
      <c r="P15" s="302"/>
      <c r="Q15" s="1429"/>
      <c r="R15" s="1429"/>
      <c r="S15" s="1429"/>
      <c r="T15" s="54"/>
      <c r="U15" s="1161"/>
      <c r="V15" s="1235"/>
      <c r="W15" s="1236"/>
      <c r="X15" s="1237"/>
      <c r="Y15" s="1237"/>
      <c r="Z15" s="1220"/>
      <c r="AA15" s="1238"/>
      <c r="AB15" s="1190"/>
      <c r="AC15" s="1239"/>
      <c r="AD15" s="1240"/>
      <c r="AE15" s="1241" t="str">
        <f>B54</f>
        <v>取引事例</v>
      </c>
      <c r="AF15" s="1242" t="s">
        <v>592</v>
      </c>
      <c r="AG15" s="1166"/>
      <c r="AH15" s="1243" t="str">
        <f>G16</f>
        <v>取引時点</v>
      </c>
      <c r="AI15" s="1244">
        <f>G18</f>
        <v>36118</v>
      </c>
      <c r="AJ15" s="1245"/>
      <c r="AK15" s="1200" t="s">
        <v>110</v>
      </c>
      <c r="AL15" s="1246">
        <f>ROUND(B87,0)</f>
        <v>132</v>
      </c>
      <c r="AM15" s="1170"/>
      <c r="AN15" s="1155"/>
      <c r="AO15" s="1148"/>
      <c r="AP15" s="1148"/>
    </row>
    <row r="16" spans="1:39" ht="30" customHeight="1" thickBot="1">
      <c r="A16" s="1432" t="s">
        <v>881</v>
      </c>
      <c r="B16" s="1433" t="s">
        <v>882</v>
      </c>
      <c r="C16" s="1432" t="s">
        <v>884</v>
      </c>
      <c r="D16" s="1432" t="s">
        <v>966</v>
      </c>
      <c r="E16" s="1432" t="s">
        <v>459</v>
      </c>
      <c r="F16" s="1432" t="s">
        <v>559</v>
      </c>
      <c r="G16" s="1432" t="s">
        <v>606</v>
      </c>
      <c r="H16" s="1432" t="s">
        <v>607</v>
      </c>
      <c r="I16" s="1432" t="s">
        <v>596</v>
      </c>
      <c r="J16" s="1432" t="s">
        <v>897</v>
      </c>
      <c r="K16" s="791" t="s">
        <v>1332</v>
      </c>
      <c r="L16" s="791" t="s">
        <v>627</v>
      </c>
      <c r="M16" s="791" t="s">
        <v>835</v>
      </c>
      <c r="N16" s="791" t="s">
        <v>836</v>
      </c>
      <c r="O16" s="791" t="s">
        <v>740</v>
      </c>
      <c r="P16" s="791" t="s">
        <v>742</v>
      </c>
      <c r="Q16" s="1434" t="s">
        <v>602</v>
      </c>
      <c r="R16" s="1434" t="s">
        <v>603</v>
      </c>
      <c r="S16" s="1434" t="s">
        <v>604</v>
      </c>
      <c r="T16" s="54" t="s">
        <v>669</v>
      </c>
      <c r="U16" s="1247" t="s">
        <v>1223</v>
      </c>
      <c r="V16" s="1161"/>
      <c r="W16" s="1248"/>
      <c r="X16" s="1249" t="str">
        <f>"  ※比準価格は試算結果の［"&amp;IF(B42&gt;0,"中庸値",IF(C40=1,"平均値","重視値"))&amp;"］を基礎にして端数処理の上、査定する。"</f>
        <v>  ※比準価格は試算結果の［平均値］を基礎にして端数処理の上、査定する。</v>
      </c>
      <c r="Y16" s="1249"/>
      <c r="Z16" s="1161"/>
      <c r="AA16" s="1161"/>
      <c r="AB16" s="1161"/>
      <c r="AC16" s="1161"/>
      <c r="AD16" s="1250"/>
      <c r="AE16" s="1251">
        <f>C18</f>
        <v>1</v>
      </c>
      <c r="AF16" s="1252" t="s">
        <v>671</v>
      </c>
      <c r="AG16" s="1253"/>
      <c r="AH16" s="1254" t="str">
        <f>IF(AL15&lt;=AG61,AH55,IF(AL15&lt;=AG62,AH56,IF(AL15&lt;=AG63,AH57,AH58)))</f>
        <v>（１＋A）×（１＋B×（経過日数－90日）／365日）</v>
      </c>
      <c r="AI16" s="1255"/>
      <c r="AJ16" s="1255"/>
      <c r="AK16" s="1255"/>
      <c r="AL16" s="1255"/>
      <c r="AM16" s="1256"/>
    </row>
    <row r="17" spans="1:39" ht="30" customHeight="1" thickBot="1" thickTop="1">
      <c r="A17" s="1435" t="s">
        <v>659</v>
      </c>
      <c r="B17" s="1436">
        <v>1</v>
      </c>
      <c r="C17" s="1437">
        <f>IF(B17=0,0,VLOOKUP(B17,結果一覧,65))</f>
        <v>1</v>
      </c>
      <c r="D17" s="1438" t="str">
        <f>D13</f>
        <v>岐阜市</v>
      </c>
      <c r="E17" s="1439" t="str">
        <f>IF(B17=0,0,VLOOKUP(B17,結果一覧,66))</f>
        <v>長良山田町９丁目９９</v>
      </c>
      <c r="F17" s="1440">
        <f>IF(B17=0,0,VLOOKUP(B17,結果一覧,69))</f>
        <v>255.69</v>
      </c>
      <c r="G17" s="1441" t="s">
        <v>977</v>
      </c>
      <c r="H17" s="1442" t="s">
        <v>977</v>
      </c>
      <c r="I17" s="1442"/>
      <c r="J17" s="1442"/>
      <c r="K17" s="1443" t="str">
        <f>IF(B17=0,0,VLOOKUP(B17,結果一覧,67))</f>
        <v>住宅地</v>
      </c>
      <c r="L17" s="1443">
        <f aca="true" t="shared" si="0" ref="L17:L22">IF(B17=0,0,VLOOKUP(B17,結果一覧,6))</f>
        <v>1</v>
      </c>
      <c r="M17" s="1443">
        <f>IF(B17=0,0,VLOOKUP(B17,結果一覧,48))</f>
        <v>16</v>
      </c>
      <c r="N17" s="1443">
        <f>IF(B17=0,0,VLOOKUP(B17,結果一覧,51))</f>
        <v>2</v>
      </c>
      <c r="O17" s="1443">
        <f>IF(B17=0,0,VLOOKUP(B17,結果一覧,49))</f>
        <v>200</v>
      </c>
      <c r="P17" s="1443">
        <f>IF(B17=0,0,VLOOKUP(B17,結果一覧,50))</f>
        <v>60</v>
      </c>
      <c r="Q17" s="1444">
        <f aca="true" t="shared" si="1" ref="Q17:Q23">IF(B17=0,0,VLOOKUP(B17,結果一覧,74))</f>
        <v>1.02</v>
      </c>
      <c r="R17" s="1444">
        <f aca="true" t="shared" si="2" ref="R17:R23">IF(B17=0,0,VLOOKUP(B17,結果一覧,75))</f>
        <v>1.02</v>
      </c>
      <c r="S17" s="1444">
        <f aca="true" t="shared" si="3" ref="S17:S23">IF(B17=0,0,VLOOKUP(B17,結果一覧,76))</f>
        <v>1</v>
      </c>
      <c r="T17" s="54"/>
      <c r="U17" s="1258" t="s">
        <v>607</v>
      </c>
      <c r="V17" s="1259" t="s">
        <v>586</v>
      </c>
      <c r="W17" s="1260" t="s">
        <v>587</v>
      </c>
      <c r="X17" s="1260" t="s">
        <v>441</v>
      </c>
      <c r="Y17" s="1260" t="s">
        <v>898</v>
      </c>
      <c r="Z17" s="1260" t="s">
        <v>603</v>
      </c>
      <c r="AA17" s="1259" t="s">
        <v>442</v>
      </c>
      <c r="AB17" s="1259" t="s">
        <v>604</v>
      </c>
      <c r="AC17" s="1260" t="s">
        <v>602</v>
      </c>
      <c r="AD17" s="1261" t="s">
        <v>681</v>
      </c>
      <c r="AE17" s="1262"/>
      <c r="AF17" s="1263" t="str">
        <f>A60</f>
        <v>時点修正率</v>
      </c>
      <c r="AG17" s="1253"/>
      <c r="AH17" s="1264">
        <f>B60</f>
        <v>96.41</v>
      </c>
      <c r="AI17" s="1253"/>
      <c r="AJ17" s="1255"/>
      <c r="AK17" s="1255"/>
      <c r="AL17" s="1255"/>
      <c r="AM17" s="1256"/>
    </row>
    <row r="18" spans="1:42" s="58" customFormat="1" ht="30" customHeight="1" thickTop="1">
      <c r="A18" s="1445" t="s">
        <v>994</v>
      </c>
      <c r="B18" s="1446">
        <v>8</v>
      </c>
      <c r="C18" s="1447">
        <f aca="true" t="shared" si="4" ref="C18:C23">IF(B18=0,0,VLOOKUP(B18,結果一覧,65))</f>
        <v>1</v>
      </c>
      <c r="D18" s="1448" t="str">
        <f>D13</f>
        <v>岐阜市</v>
      </c>
      <c r="E18" s="1449" t="str">
        <f aca="true" t="shared" si="5" ref="E18:E23">IF(B18=0,0,VLOOKUP(B18,結果一覧,66))</f>
        <v>長良有明町地内</v>
      </c>
      <c r="F18" s="1450">
        <f aca="true" t="shared" si="6" ref="F18:F23">IF(B18=0,0,VLOOKUP(B18,結果一覧,69))</f>
        <v>240</v>
      </c>
      <c r="G18" s="1451">
        <f aca="true" t="shared" si="7" ref="G18:G23">IF(B18=0,0,VLOOKUP(B18,結果一覧,70))</f>
        <v>36118</v>
      </c>
      <c r="H18" s="1452">
        <f aca="true" t="shared" si="8" ref="H18:H23">IF(B18=0,0,VLOOKUP(B18,結果一覧,71))</f>
        <v>113000</v>
      </c>
      <c r="I18" s="1452">
        <f aca="true" t="shared" si="9" ref="I18:I23">IF(B18=0,0,VLOOKUP(B18,結果一覧,10))</f>
        <v>0</v>
      </c>
      <c r="J18" s="1452">
        <f aca="true" t="shared" si="10" ref="J18:J23">IF(C18=0,0,VLOOKUP(B18,結果一覧,11))</f>
        <v>100</v>
      </c>
      <c r="K18" s="1453" t="str">
        <f aca="true" t="shared" si="11" ref="K18:K23">IF(B18=0,0,VLOOKUP(B18,結果一覧,67))</f>
        <v>住宅地</v>
      </c>
      <c r="L18" s="1453">
        <f t="shared" si="0"/>
        <v>1</v>
      </c>
      <c r="M18" s="1453">
        <f aca="true" t="shared" si="12" ref="M18:M23">IF(B18=0,0,VLOOKUP(B18,結果一覧,48))</f>
        <v>14</v>
      </c>
      <c r="N18" s="1453">
        <f aca="true" t="shared" si="13" ref="N18:N23">IF(B18=0,0,VLOOKUP(B18,結果一覧,51))</f>
        <v>2</v>
      </c>
      <c r="O18" s="1453">
        <f aca="true" t="shared" si="14" ref="O18:O23">IF(B18=0,0,VLOOKUP(B18,結果一覧,49))</f>
        <v>200</v>
      </c>
      <c r="P18" s="1453">
        <f aca="true" t="shared" si="15" ref="P18:P23">IF(B18=0,0,VLOOKUP(B18,結果一覧,50))</f>
        <v>60</v>
      </c>
      <c r="Q18" s="1454">
        <f t="shared" si="1"/>
        <v>1.02</v>
      </c>
      <c r="R18" s="1454">
        <f t="shared" si="2"/>
        <v>0.971</v>
      </c>
      <c r="S18" s="1454">
        <f t="shared" si="3"/>
        <v>1.126</v>
      </c>
      <c r="T18" s="54"/>
      <c r="U18" s="1171" t="str">
        <f>"事例 [ "&amp;C18&amp;" ]"</f>
        <v>事例 [ 1 ]</v>
      </c>
      <c r="V18" s="1728">
        <v>100</v>
      </c>
      <c r="W18" s="1356">
        <f>B60</f>
        <v>96.41</v>
      </c>
      <c r="X18" s="1727">
        <v>100</v>
      </c>
      <c r="Y18" s="1727">
        <v>100</v>
      </c>
      <c r="Z18" s="1727">
        <v>100</v>
      </c>
      <c r="AA18" s="1357"/>
      <c r="AB18" s="1723">
        <v>100</v>
      </c>
      <c r="AC18" s="1356">
        <f>B70</f>
        <v>102</v>
      </c>
      <c r="AD18" s="1358"/>
      <c r="AE18" s="1219"/>
      <c r="AF18" s="1265"/>
      <c r="AG18" s="1190"/>
      <c r="AH18" s="1266"/>
      <c r="AI18" s="1190"/>
      <c r="AJ18" s="1220"/>
      <c r="AK18" s="1220"/>
      <c r="AL18" s="1220"/>
      <c r="AM18" s="1221"/>
      <c r="AN18" s="1267"/>
      <c r="AO18" s="1150"/>
      <c r="AP18" s="1150"/>
    </row>
    <row r="19" spans="1:42" s="58" customFormat="1" ht="30" customHeight="1">
      <c r="A19" s="1455" t="s">
        <v>994</v>
      </c>
      <c r="B19" s="1456">
        <v>9</v>
      </c>
      <c r="C19" s="1447">
        <f t="shared" si="4"/>
        <v>2</v>
      </c>
      <c r="D19" s="1448" t="str">
        <f>D13</f>
        <v>岐阜市</v>
      </c>
      <c r="E19" s="1449" t="str">
        <f t="shared" si="5"/>
        <v>長良南陽町地内</v>
      </c>
      <c r="F19" s="1450">
        <f t="shared" si="6"/>
        <v>185</v>
      </c>
      <c r="G19" s="1451">
        <f t="shared" si="7"/>
        <v>35987</v>
      </c>
      <c r="H19" s="1452">
        <f t="shared" si="8"/>
        <v>114000</v>
      </c>
      <c r="I19" s="1452">
        <f t="shared" si="9"/>
        <v>0</v>
      </c>
      <c r="J19" s="1452">
        <f t="shared" si="10"/>
        <v>100</v>
      </c>
      <c r="K19" s="1453" t="str">
        <f t="shared" si="11"/>
        <v>住宅地</v>
      </c>
      <c r="L19" s="1453">
        <f t="shared" si="0"/>
        <v>1</v>
      </c>
      <c r="M19" s="1453">
        <f t="shared" si="12"/>
        <v>14</v>
      </c>
      <c r="N19" s="1453">
        <f t="shared" si="13"/>
        <v>2</v>
      </c>
      <c r="O19" s="1453">
        <f t="shared" si="14"/>
        <v>200</v>
      </c>
      <c r="P19" s="1453">
        <f t="shared" si="15"/>
        <v>60</v>
      </c>
      <c r="Q19" s="1454">
        <f t="shared" si="1"/>
        <v>1.02</v>
      </c>
      <c r="R19" s="1454">
        <f t="shared" si="2"/>
        <v>0.987</v>
      </c>
      <c r="S19" s="1454">
        <f t="shared" si="3"/>
        <v>1.127</v>
      </c>
      <c r="T19" s="54"/>
      <c r="U19" s="1714">
        <f>H18</f>
        <v>113000</v>
      </c>
      <c r="V19" s="1723" t="s">
        <v>152</v>
      </c>
      <c r="W19" s="1727" t="s">
        <v>152</v>
      </c>
      <c r="X19" s="1727" t="s">
        <v>152</v>
      </c>
      <c r="Y19" s="1727" t="s">
        <v>152</v>
      </c>
      <c r="Z19" s="1727" t="s">
        <v>153</v>
      </c>
      <c r="AA19" s="1357">
        <f>B68</f>
        <v>112197</v>
      </c>
      <c r="AB19" s="1723" t="s">
        <v>697</v>
      </c>
      <c r="AC19" s="1726" t="s">
        <v>151</v>
      </c>
      <c r="AD19" s="1359">
        <f>B71</f>
        <v>101634</v>
      </c>
      <c r="AE19" s="1268"/>
      <c r="AF19" s="1269"/>
      <c r="AG19" s="1215"/>
      <c r="AH19" s="1270"/>
      <c r="AI19" s="1215"/>
      <c r="AJ19" s="1215"/>
      <c r="AK19" s="1215"/>
      <c r="AL19" s="1215"/>
      <c r="AM19" s="1271"/>
      <c r="AN19" s="1267"/>
      <c r="AO19" s="1150"/>
      <c r="AP19" s="1150"/>
    </row>
    <row r="20" spans="1:42" s="58" customFormat="1" ht="30" customHeight="1">
      <c r="A20" s="1455" t="s">
        <v>994</v>
      </c>
      <c r="B20" s="1456">
        <v>10</v>
      </c>
      <c r="C20" s="1447">
        <f t="shared" si="4"/>
        <v>3</v>
      </c>
      <c r="D20" s="1448" t="str">
        <f>D13</f>
        <v>岐阜市</v>
      </c>
      <c r="E20" s="1449" t="str">
        <f t="shared" si="5"/>
        <v>長良東郷町地内</v>
      </c>
      <c r="F20" s="1450">
        <f t="shared" si="6"/>
        <v>450</v>
      </c>
      <c r="G20" s="1451">
        <f t="shared" si="7"/>
        <v>36215</v>
      </c>
      <c r="H20" s="1452">
        <f t="shared" si="8"/>
        <v>125000</v>
      </c>
      <c r="I20" s="1452">
        <f t="shared" si="9"/>
        <v>1</v>
      </c>
      <c r="J20" s="1452">
        <f t="shared" si="10"/>
        <v>110</v>
      </c>
      <c r="K20" s="1453" t="str">
        <f t="shared" si="11"/>
        <v>住宅地</v>
      </c>
      <c r="L20" s="1453">
        <f t="shared" si="0"/>
        <v>2</v>
      </c>
      <c r="M20" s="1453">
        <f t="shared" si="12"/>
        <v>14</v>
      </c>
      <c r="N20" s="1453">
        <f t="shared" si="13"/>
        <v>2</v>
      </c>
      <c r="O20" s="1453">
        <f t="shared" si="14"/>
        <v>200</v>
      </c>
      <c r="P20" s="1453">
        <f t="shared" si="15"/>
        <v>60</v>
      </c>
      <c r="Q20" s="1454">
        <f t="shared" si="1"/>
        <v>1.02</v>
      </c>
      <c r="R20" s="1454">
        <f t="shared" si="2"/>
        <v>1.024</v>
      </c>
      <c r="S20" s="1454">
        <f t="shared" si="3"/>
        <v>1.126</v>
      </c>
      <c r="T20" s="54"/>
      <c r="U20" s="1272"/>
      <c r="V20" s="1360">
        <f>B63</f>
        <v>100</v>
      </c>
      <c r="W20" s="1729">
        <v>100</v>
      </c>
      <c r="X20" s="1361" t="str">
        <f>IF(L18=2,B65,"／")</f>
        <v>／</v>
      </c>
      <c r="Y20" s="1361">
        <f>B66</f>
        <v>100</v>
      </c>
      <c r="Z20" s="1361">
        <f>B67</f>
        <v>97.1</v>
      </c>
      <c r="AA20" s="1362"/>
      <c r="AB20" s="1363">
        <f>B69</f>
        <v>112.6</v>
      </c>
      <c r="AC20" s="1724">
        <v>100</v>
      </c>
      <c r="AD20" s="1364">
        <f>IF(C41=1,IF(B72=1,"【重視事例】"," "),0)</f>
        <v>0</v>
      </c>
      <c r="AE20" s="1251" t="str">
        <f>B54</f>
        <v>取引事例</v>
      </c>
      <c r="AF20" s="1252" t="s">
        <v>592</v>
      </c>
      <c r="AG20" s="1253"/>
      <c r="AH20" s="1273" t="str">
        <f>G16</f>
        <v>取引時点</v>
      </c>
      <c r="AI20" s="1274">
        <f>G19</f>
        <v>35987</v>
      </c>
      <c r="AJ20" s="1275"/>
      <c r="AK20" s="1276" t="s">
        <v>110</v>
      </c>
      <c r="AL20" s="1277">
        <f>ROUND(C87,0)</f>
        <v>263</v>
      </c>
      <c r="AM20" s="1278"/>
      <c r="AN20" s="1267"/>
      <c r="AO20" s="1150"/>
      <c r="AP20" s="1150"/>
    </row>
    <row r="21" spans="1:42" s="58" customFormat="1" ht="30" customHeight="1" thickBot="1">
      <c r="A21" s="1455" t="s">
        <v>994</v>
      </c>
      <c r="B21" s="1457">
        <v>11</v>
      </c>
      <c r="C21" s="1447">
        <f t="shared" si="4"/>
        <v>4</v>
      </c>
      <c r="D21" s="1448" t="str">
        <f>D13</f>
        <v>岐阜市</v>
      </c>
      <c r="E21" s="1449" t="str">
        <f t="shared" si="5"/>
        <v>長良城西町地内</v>
      </c>
      <c r="F21" s="1450">
        <f t="shared" si="6"/>
        <v>280</v>
      </c>
      <c r="G21" s="1451">
        <f t="shared" si="7"/>
        <v>36219</v>
      </c>
      <c r="H21" s="1452">
        <f t="shared" si="8"/>
        <v>110000</v>
      </c>
      <c r="I21" s="1452">
        <f t="shared" si="9"/>
        <v>0</v>
      </c>
      <c r="J21" s="1452">
        <f t="shared" si="10"/>
        <v>100</v>
      </c>
      <c r="K21" s="1453" t="str">
        <f t="shared" si="11"/>
        <v>住宅地</v>
      </c>
      <c r="L21" s="1453">
        <f t="shared" si="0"/>
        <v>1</v>
      </c>
      <c r="M21" s="1453">
        <f t="shared" si="12"/>
        <v>14</v>
      </c>
      <c r="N21" s="1453">
        <f t="shared" si="13"/>
        <v>2</v>
      </c>
      <c r="O21" s="1453">
        <f t="shared" si="14"/>
        <v>200</v>
      </c>
      <c r="P21" s="1453">
        <f t="shared" si="15"/>
        <v>60</v>
      </c>
      <c r="Q21" s="1454">
        <f t="shared" si="1"/>
        <v>1.02</v>
      </c>
      <c r="R21" s="1454">
        <f t="shared" si="2"/>
        <v>0.998</v>
      </c>
      <c r="S21" s="1454">
        <f t="shared" si="3"/>
        <v>1.115</v>
      </c>
      <c r="T21" s="54"/>
      <c r="U21" s="1171" t="str">
        <f>"事例 [ "&amp;C19&amp;" ]"</f>
        <v>事例 [ 2 ]</v>
      </c>
      <c r="V21" s="1730">
        <v>100</v>
      </c>
      <c r="W21" s="1356">
        <f>C60</f>
        <v>92.91</v>
      </c>
      <c r="X21" s="1727">
        <v>100</v>
      </c>
      <c r="Y21" s="1727">
        <v>100</v>
      </c>
      <c r="Z21" s="1727">
        <v>100</v>
      </c>
      <c r="AA21" s="1357"/>
      <c r="AB21" s="1723">
        <v>100</v>
      </c>
      <c r="AC21" s="1356">
        <f>C70</f>
        <v>102</v>
      </c>
      <c r="AD21" s="1359"/>
      <c r="AE21" s="1251">
        <f>C19</f>
        <v>2</v>
      </c>
      <c r="AF21" s="1252" t="s">
        <v>671</v>
      </c>
      <c r="AG21" s="1253"/>
      <c r="AH21" s="1254" t="str">
        <f>IF(AL20&lt;=AG61,AH55,IF(AL20&lt;=AG62,AH56,IF(AL20&lt;=AG63,AH57,AH58)))</f>
        <v>（１＋A）×（１＋B×（経過日数－90日）／365日）</v>
      </c>
      <c r="AI21" s="1255"/>
      <c r="AJ21" s="1255"/>
      <c r="AK21" s="1255"/>
      <c r="AL21" s="1255"/>
      <c r="AM21" s="1256"/>
      <c r="AN21" s="1267"/>
      <c r="AO21" s="1150"/>
      <c r="AP21" s="1150"/>
    </row>
    <row r="22" spans="1:42" s="58" customFormat="1" ht="30" customHeight="1" thickTop="1">
      <c r="A22" s="1458" t="s">
        <v>1011</v>
      </c>
      <c r="B22" s="1459">
        <v>6</v>
      </c>
      <c r="C22" s="1460" t="str">
        <f t="shared" si="4"/>
        <v>岐阜ー99</v>
      </c>
      <c r="D22" s="1461" t="str">
        <f>D13</f>
        <v>岐阜市</v>
      </c>
      <c r="E22" s="1462" t="str">
        <f t="shared" si="5"/>
        <v>長良太平町３丁目７７</v>
      </c>
      <c r="F22" s="1463">
        <f t="shared" si="6"/>
        <v>225</v>
      </c>
      <c r="G22" s="1464">
        <f t="shared" si="7"/>
        <v>36160</v>
      </c>
      <c r="H22" s="1465">
        <f t="shared" si="8"/>
        <v>120000</v>
      </c>
      <c r="I22" s="1465">
        <f t="shared" si="9"/>
        <v>0</v>
      </c>
      <c r="J22" s="1465">
        <f t="shared" si="10"/>
        <v>100</v>
      </c>
      <c r="K22" s="1466" t="str">
        <f t="shared" si="11"/>
        <v>住宅地</v>
      </c>
      <c r="L22" s="1466">
        <f t="shared" si="0"/>
        <v>1</v>
      </c>
      <c r="M22" s="1466">
        <f t="shared" si="12"/>
        <v>14</v>
      </c>
      <c r="N22" s="1466">
        <f t="shared" si="13"/>
        <v>2</v>
      </c>
      <c r="O22" s="1466">
        <f t="shared" si="14"/>
        <v>200</v>
      </c>
      <c r="P22" s="1466">
        <f t="shared" si="15"/>
        <v>60</v>
      </c>
      <c r="Q22" s="1467">
        <f t="shared" si="1"/>
        <v>1.02</v>
      </c>
      <c r="R22" s="1467">
        <f t="shared" si="2"/>
        <v>1</v>
      </c>
      <c r="S22" s="1467">
        <f t="shared" si="3"/>
        <v>1.21</v>
      </c>
      <c r="T22" s="54"/>
      <c r="U22" s="1714">
        <f>H19</f>
        <v>114000</v>
      </c>
      <c r="V22" s="1723" t="s">
        <v>152</v>
      </c>
      <c r="W22" s="1727" t="s">
        <v>152</v>
      </c>
      <c r="X22" s="1727" t="s">
        <v>152</v>
      </c>
      <c r="Y22" s="1727" t="s">
        <v>152</v>
      </c>
      <c r="Z22" s="1727" t="s">
        <v>153</v>
      </c>
      <c r="AA22" s="1357">
        <f>C68</f>
        <v>107312</v>
      </c>
      <c r="AB22" s="1723" t="s">
        <v>697</v>
      </c>
      <c r="AC22" s="1726" t="s">
        <v>151</v>
      </c>
      <c r="AD22" s="1359">
        <f>C71</f>
        <v>97123</v>
      </c>
      <c r="AE22" s="1262"/>
      <c r="AF22" s="1263" t="str">
        <f>A60</f>
        <v>時点修正率</v>
      </c>
      <c r="AG22" s="1253"/>
      <c r="AH22" s="1264">
        <f>C60</f>
        <v>92.91</v>
      </c>
      <c r="AI22" s="1253"/>
      <c r="AJ22" s="1255"/>
      <c r="AK22" s="1255"/>
      <c r="AL22" s="1255"/>
      <c r="AM22" s="1256"/>
      <c r="AN22" s="1267"/>
      <c r="AO22" s="1150"/>
      <c r="AP22" s="1150"/>
    </row>
    <row r="23" spans="1:42" s="58" customFormat="1" ht="30" customHeight="1" thickBot="1">
      <c r="A23" s="1468" t="s">
        <v>1011</v>
      </c>
      <c r="B23" s="1469">
        <v>0</v>
      </c>
      <c r="C23" s="1460">
        <f t="shared" si="4"/>
        <v>0</v>
      </c>
      <c r="D23" s="1461" t="str">
        <f>D13</f>
        <v>岐阜市</v>
      </c>
      <c r="E23" s="1462">
        <f t="shared" si="5"/>
        <v>0</v>
      </c>
      <c r="F23" s="1463">
        <f t="shared" si="6"/>
        <v>0</v>
      </c>
      <c r="G23" s="1464">
        <f t="shared" si="7"/>
        <v>0</v>
      </c>
      <c r="H23" s="1465">
        <f t="shared" si="8"/>
        <v>0</v>
      </c>
      <c r="I23" s="1465">
        <f t="shared" si="9"/>
        <v>0</v>
      </c>
      <c r="J23" s="1465">
        <f t="shared" si="10"/>
        <v>0</v>
      </c>
      <c r="K23" s="1466">
        <f t="shared" si="11"/>
        <v>0</v>
      </c>
      <c r="L23" s="1466">
        <f>IF(B23=0,0,VLOOKUP(B23,結果一覧,6))</f>
        <v>0</v>
      </c>
      <c r="M23" s="1466">
        <f t="shared" si="12"/>
        <v>0</v>
      </c>
      <c r="N23" s="1466">
        <f t="shared" si="13"/>
        <v>0</v>
      </c>
      <c r="O23" s="1466">
        <f t="shared" si="14"/>
        <v>0</v>
      </c>
      <c r="P23" s="1466">
        <f t="shared" si="15"/>
        <v>0</v>
      </c>
      <c r="Q23" s="1467">
        <f t="shared" si="1"/>
        <v>0</v>
      </c>
      <c r="R23" s="1467">
        <f t="shared" si="2"/>
        <v>0</v>
      </c>
      <c r="S23" s="1467">
        <f t="shared" si="3"/>
        <v>0</v>
      </c>
      <c r="T23" s="54"/>
      <c r="U23" s="1272"/>
      <c r="V23" s="1360">
        <f>C63</f>
        <v>100</v>
      </c>
      <c r="W23" s="1729">
        <v>100</v>
      </c>
      <c r="X23" s="1361" t="str">
        <f>IF(L19=2,C65,"／")</f>
        <v>／</v>
      </c>
      <c r="Y23" s="1361">
        <f>C66</f>
        <v>100</v>
      </c>
      <c r="Z23" s="1361">
        <f>C67</f>
        <v>98.7</v>
      </c>
      <c r="AA23" s="1362"/>
      <c r="AB23" s="1363">
        <f>C69</f>
        <v>112.7</v>
      </c>
      <c r="AC23" s="1724">
        <v>100</v>
      </c>
      <c r="AD23" s="1364">
        <f>IF(C41=1,IF(C72=1,"【重視事例】"," "),0)</f>
        <v>0</v>
      </c>
      <c r="AE23" s="1219"/>
      <c r="AF23" s="1265"/>
      <c r="AG23" s="1190"/>
      <c r="AH23" s="1266"/>
      <c r="AI23" s="1190"/>
      <c r="AJ23" s="1220"/>
      <c r="AK23" s="1220"/>
      <c r="AL23" s="1220"/>
      <c r="AM23" s="1221"/>
      <c r="AN23" s="1267"/>
      <c r="AO23" s="1150"/>
      <c r="AP23" s="1150"/>
    </row>
    <row r="24" spans="1:39" ht="30" customHeight="1" thickBot="1" thickTop="1">
      <c r="A24" s="1470" t="s">
        <v>1012</v>
      </c>
      <c r="B24" s="1471">
        <f>COUNT(C24:F24)</f>
        <v>4</v>
      </c>
      <c r="C24" s="1466">
        <f>IF(B18=0,"",1)</f>
        <v>1</v>
      </c>
      <c r="D24" s="1472">
        <f>IF(B19=0,"",1)</f>
        <v>1</v>
      </c>
      <c r="E24" s="1472">
        <f>IF(B20=0,"",1)</f>
        <v>1</v>
      </c>
      <c r="F24" s="1472">
        <f>IF(B21=0,"",1)</f>
        <v>1</v>
      </c>
      <c r="G24" s="1473"/>
      <c r="H24" s="1473"/>
      <c r="I24" s="1473"/>
      <c r="J24" s="1473"/>
      <c r="K24" s="1473"/>
      <c r="L24" s="1473"/>
      <c r="M24" s="1473"/>
      <c r="N24" s="1473"/>
      <c r="O24" s="1473"/>
      <c r="P24" s="1473"/>
      <c r="Q24" s="1474"/>
      <c r="R24" s="1474"/>
      <c r="S24" s="1474"/>
      <c r="T24" s="54"/>
      <c r="U24" s="1171" t="str">
        <f>IF(H20=0,0,"事例 [ "&amp;C20&amp;" ]")</f>
        <v>事例 [ 3 ]</v>
      </c>
      <c r="V24" s="1730">
        <v>100</v>
      </c>
      <c r="W24" s="1356">
        <f>IF(H20=0,0,D60)</f>
        <v>99.04</v>
      </c>
      <c r="X24" s="1727">
        <v>100</v>
      </c>
      <c r="Y24" s="1727">
        <v>100</v>
      </c>
      <c r="Z24" s="1727">
        <v>100</v>
      </c>
      <c r="AA24" s="1357"/>
      <c r="AB24" s="1723">
        <v>100</v>
      </c>
      <c r="AC24" s="1356">
        <f>IF(H20=0,0,D70)</f>
        <v>102</v>
      </c>
      <c r="AD24" s="1359"/>
      <c r="AE24" s="1268"/>
      <c r="AF24" s="1269"/>
      <c r="AG24" s="1215"/>
      <c r="AH24" s="1270"/>
      <c r="AI24" s="1215"/>
      <c r="AJ24" s="1215"/>
      <c r="AK24" s="1215"/>
      <c r="AL24" s="1215"/>
      <c r="AM24" s="1271"/>
    </row>
    <row r="25" spans="1:39" ht="30" customHeight="1">
      <c r="A25" s="1475" t="s">
        <v>418</v>
      </c>
      <c r="B25" s="1475"/>
      <c r="C25" s="1475"/>
      <c r="D25" s="1474"/>
      <c r="E25" s="1474"/>
      <c r="F25" s="1474"/>
      <c r="G25" s="1474"/>
      <c r="H25" s="1473"/>
      <c r="I25" s="1473"/>
      <c r="J25" s="1473"/>
      <c r="K25" s="1473"/>
      <c r="L25" s="1473"/>
      <c r="M25" s="1473"/>
      <c r="N25" s="1473"/>
      <c r="O25" s="1473"/>
      <c r="P25" s="1473"/>
      <c r="Q25" s="1474"/>
      <c r="R25" s="1474"/>
      <c r="S25" s="1474"/>
      <c r="T25" s="54"/>
      <c r="U25" s="1714">
        <f>H20</f>
        <v>125000</v>
      </c>
      <c r="V25" s="1723" t="s">
        <v>152</v>
      </c>
      <c r="W25" s="1727" t="s">
        <v>152</v>
      </c>
      <c r="X25" s="1727" t="s">
        <v>152</v>
      </c>
      <c r="Y25" s="1727" t="s">
        <v>152</v>
      </c>
      <c r="Z25" s="1727" t="s">
        <v>153</v>
      </c>
      <c r="AA25" s="1357">
        <f>D68</f>
        <v>113306</v>
      </c>
      <c r="AB25" s="1723" t="s">
        <v>697</v>
      </c>
      <c r="AC25" s="1726" t="s">
        <v>151</v>
      </c>
      <c r="AD25" s="1359">
        <f>IF(H20=0,0,D71)</f>
        <v>102639</v>
      </c>
      <c r="AE25" s="1251" t="str">
        <f>B54</f>
        <v>取引事例</v>
      </c>
      <c r="AF25" s="1252" t="s">
        <v>592</v>
      </c>
      <c r="AG25" s="1253"/>
      <c r="AH25" s="1273" t="str">
        <f>G16</f>
        <v>取引時点</v>
      </c>
      <c r="AI25" s="1274">
        <f>G20</f>
        <v>36215</v>
      </c>
      <c r="AJ25" s="1275"/>
      <c r="AK25" s="1276" t="s">
        <v>110</v>
      </c>
      <c r="AL25" s="1277">
        <f>ROUND(D87,0)</f>
        <v>35</v>
      </c>
      <c r="AM25" s="1278"/>
    </row>
    <row r="26" spans="1:39" ht="30" customHeight="1">
      <c r="A26" s="1466" t="s">
        <v>913</v>
      </c>
      <c r="B26" s="1466" t="s">
        <v>643</v>
      </c>
      <c r="C26" s="1466" t="s">
        <v>915</v>
      </c>
      <c r="D26" s="1466" t="s">
        <v>644</v>
      </c>
      <c r="E26" s="1466" t="s">
        <v>912</v>
      </c>
      <c r="F26" s="1466" t="s">
        <v>646</v>
      </c>
      <c r="G26" s="1466" t="s">
        <v>632</v>
      </c>
      <c r="H26" s="1474"/>
      <c r="I26" s="1474"/>
      <c r="J26" s="1474"/>
      <c r="K26" s="1473"/>
      <c r="L26" s="1473"/>
      <c r="M26" s="1473"/>
      <c r="N26" s="1473"/>
      <c r="O26" s="1473"/>
      <c r="P26" s="1473"/>
      <c r="Q26" s="1474"/>
      <c r="R26" s="1474"/>
      <c r="S26" s="1474"/>
      <c r="T26" s="59"/>
      <c r="U26" s="1272"/>
      <c r="V26" s="1360">
        <f>IF(H20=0,0,D63)</f>
        <v>110</v>
      </c>
      <c r="W26" s="1729">
        <v>100</v>
      </c>
      <c r="X26" s="1361">
        <f>IF(H20=0,0,IF(L20=2,D65,"／"))</f>
        <v>97</v>
      </c>
      <c r="Y26" s="1361">
        <f>D66</f>
        <v>100</v>
      </c>
      <c r="Z26" s="1361">
        <f>IF(H20=0,0,D67)</f>
        <v>102.4</v>
      </c>
      <c r="AA26" s="1362"/>
      <c r="AB26" s="1363">
        <f>IF(H20=0,0,D69)</f>
        <v>112.6</v>
      </c>
      <c r="AC26" s="1724">
        <v>100</v>
      </c>
      <c r="AD26" s="1364">
        <f>IF(C41=1,IF(D72=1,"【重視事例】"," "),0)</f>
        <v>0</v>
      </c>
      <c r="AE26" s="1251">
        <f>C20</f>
        <v>3</v>
      </c>
      <c r="AF26" s="1252" t="s">
        <v>671</v>
      </c>
      <c r="AG26" s="1253"/>
      <c r="AH26" s="1254" t="str">
        <f>IF(AL25&lt;=AG61,AH55,IF(AL25&lt;=AG62,AH56,IF(AL25&lt;=AG63,AH57,AH58)))</f>
        <v>（１＋A×経過日数／90日）</v>
      </c>
      <c r="AI26" s="1255"/>
      <c r="AJ26" s="1255"/>
      <c r="AK26" s="1255"/>
      <c r="AL26" s="1255"/>
      <c r="AM26" s="1256"/>
    </row>
    <row r="27" spans="1:39" ht="30" customHeight="1">
      <c r="A27" s="1466" t="str">
        <f>B13</f>
        <v>99999</v>
      </c>
      <c r="B27" s="1466">
        <f>C17</f>
        <v>1</v>
      </c>
      <c r="C27" s="1464">
        <f>F13</f>
        <v>36250</v>
      </c>
      <c r="D27" s="1466" t="str">
        <f>K17</f>
        <v>住宅地</v>
      </c>
      <c r="E27" s="1466">
        <f>L17</f>
        <v>1</v>
      </c>
      <c r="F27" s="1466">
        <f>IF(B27=1,1,IF(B27=2,3,IF(B27=3,5,IF(B27=4,7,9))))</f>
        <v>1</v>
      </c>
      <c r="G27" s="1476">
        <f>E50</f>
        <v>97500</v>
      </c>
      <c r="H27" s="1474"/>
      <c r="I27" s="1474"/>
      <c r="J27" s="1474"/>
      <c r="K27" s="1473"/>
      <c r="L27" s="1473"/>
      <c r="M27" s="1473"/>
      <c r="N27" s="1473"/>
      <c r="O27" s="1473"/>
      <c r="P27" s="1473"/>
      <c r="Q27" s="1473"/>
      <c r="R27" s="1473"/>
      <c r="S27" s="1473"/>
      <c r="U27" s="1171" t="str">
        <f>IF(H21=0,0,"事例 [ "&amp;C21&amp;" ]")</f>
        <v>事例 [ 4 ]</v>
      </c>
      <c r="V27" s="1730">
        <v>100</v>
      </c>
      <c r="W27" s="1356">
        <f>IF(H21=0,0,E60)</f>
        <v>99.15</v>
      </c>
      <c r="X27" s="1727">
        <v>100</v>
      </c>
      <c r="Y27" s="1727">
        <v>100</v>
      </c>
      <c r="Z27" s="1727">
        <v>100</v>
      </c>
      <c r="AA27" s="1357"/>
      <c r="AB27" s="1723">
        <v>100</v>
      </c>
      <c r="AC27" s="1356">
        <f>IF(H21=0,0,E70)</f>
        <v>102</v>
      </c>
      <c r="AD27" s="1359"/>
      <c r="AE27" s="1262"/>
      <c r="AF27" s="1263" t="str">
        <f>A60</f>
        <v>時点修正率</v>
      </c>
      <c r="AG27" s="1253"/>
      <c r="AH27" s="1264">
        <f>D60</f>
        <v>99.04</v>
      </c>
      <c r="AI27" s="1253"/>
      <c r="AJ27" s="1255"/>
      <c r="AK27" s="1255"/>
      <c r="AL27" s="1255"/>
      <c r="AM27" s="1256"/>
    </row>
    <row r="28" spans="1:39" ht="30" customHeight="1">
      <c r="A28" s="1466" t="s">
        <v>966</v>
      </c>
      <c r="B28" s="1477" t="s">
        <v>459</v>
      </c>
      <c r="C28" s="1477"/>
      <c r="D28" s="1477"/>
      <c r="E28" s="1466" t="s">
        <v>1324</v>
      </c>
      <c r="F28" s="1478"/>
      <c r="G28" s="1479"/>
      <c r="H28" s="1473"/>
      <c r="I28" s="1473"/>
      <c r="J28" s="1473"/>
      <c r="K28" s="1473"/>
      <c r="L28" s="1473"/>
      <c r="M28" s="1473"/>
      <c r="N28" s="1473"/>
      <c r="O28" s="1473"/>
      <c r="P28" s="1473"/>
      <c r="Q28" s="1473"/>
      <c r="R28" s="1473"/>
      <c r="S28" s="1473"/>
      <c r="T28" s="55"/>
      <c r="U28" s="1714">
        <f>H21</f>
        <v>110000</v>
      </c>
      <c r="V28" s="1723" t="s">
        <v>152</v>
      </c>
      <c r="W28" s="1727" t="s">
        <v>152</v>
      </c>
      <c r="X28" s="1727" t="s">
        <v>152</v>
      </c>
      <c r="Y28" s="1727" t="s">
        <v>152</v>
      </c>
      <c r="Z28" s="1727" t="s">
        <v>153</v>
      </c>
      <c r="AA28" s="1357">
        <f>E68</f>
        <v>109283</v>
      </c>
      <c r="AB28" s="1723" t="s">
        <v>697</v>
      </c>
      <c r="AC28" s="1726" t="s">
        <v>151</v>
      </c>
      <c r="AD28" s="1359">
        <f>IF(H21=0,0,E71)</f>
        <v>99971</v>
      </c>
      <c r="AE28" s="1219"/>
      <c r="AF28" s="1265"/>
      <c r="AG28" s="1190"/>
      <c r="AH28" s="1266"/>
      <c r="AI28" s="1190"/>
      <c r="AJ28" s="1220"/>
      <c r="AK28" s="1220"/>
      <c r="AL28" s="1220"/>
      <c r="AM28" s="1221"/>
    </row>
    <row r="29" spans="1:39" ht="30" customHeight="1" thickBot="1">
      <c r="A29" s="1466" t="str">
        <f>D17</f>
        <v>岐阜市</v>
      </c>
      <c r="B29" s="1480" t="str">
        <f>E17</f>
        <v>長良山田町９丁目９９</v>
      </c>
      <c r="C29" s="1481"/>
      <c r="D29" s="1482"/>
      <c r="E29" s="1483">
        <f>F17</f>
        <v>255.69</v>
      </c>
      <c r="F29" s="1484"/>
      <c r="G29" s="1485"/>
      <c r="H29" s="1473"/>
      <c r="I29" s="1473"/>
      <c r="J29" s="1473"/>
      <c r="K29" s="1473"/>
      <c r="L29" s="1473"/>
      <c r="M29" s="1473"/>
      <c r="N29" s="1473"/>
      <c r="O29" s="1473"/>
      <c r="P29" s="1473"/>
      <c r="Q29" s="1473"/>
      <c r="R29" s="1473"/>
      <c r="S29" s="1473"/>
      <c r="T29" s="55"/>
      <c r="U29" s="1279"/>
      <c r="V29" s="1365">
        <f>IF(H21=0,0,E63)</f>
        <v>100</v>
      </c>
      <c r="W29" s="1731">
        <v>100</v>
      </c>
      <c r="X29" s="1366" t="str">
        <f>IF(H21=0,0,IF(L21=2,E65,"／"))</f>
        <v>／</v>
      </c>
      <c r="Y29" s="1366">
        <f>E66</f>
        <v>100</v>
      </c>
      <c r="Z29" s="1366">
        <f>IF(H21=0,0,E67)</f>
        <v>99.8</v>
      </c>
      <c r="AA29" s="1367"/>
      <c r="AB29" s="1368">
        <f>IF(H21=0,0,E69)</f>
        <v>111.5</v>
      </c>
      <c r="AC29" s="1725">
        <v>100</v>
      </c>
      <c r="AD29" s="1369">
        <f>IF(C41=1,IF(E72=1,"【重視事例】"," "),0)</f>
        <v>0</v>
      </c>
      <c r="AE29" s="1268"/>
      <c r="AF29" s="1269"/>
      <c r="AG29" s="1215"/>
      <c r="AH29" s="1270"/>
      <c r="AI29" s="1215"/>
      <c r="AJ29" s="1215"/>
      <c r="AK29" s="1215"/>
      <c r="AL29" s="1215"/>
      <c r="AM29" s="1271"/>
    </row>
    <row r="30" spans="1:39" ht="30" customHeight="1" thickBot="1" thickTop="1">
      <c r="A30" s="1486" t="s">
        <v>899</v>
      </c>
      <c r="B30" s="1487">
        <v>240</v>
      </c>
      <c r="C30" s="1488" t="s">
        <v>900</v>
      </c>
      <c r="D30" s="1489">
        <v>12</v>
      </c>
      <c r="E30" s="1486" t="s">
        <v>901</v>
      </c>
      <c r="F30" s="1490">
        <f>ROUND(B30/D30,0)</f>
        <v>20</v>
      </c>
      <c r="G30" s="1486" t="s">
        <v>195</v>
      </c>
      <c r="H30" s="1491" t="s">
        <v>196</v>
      </c>
      <c r="I30" s="346"/>
      <c r="J30" s="346"/>
      <c r="K30" s="346"/>
      <c r="L30" s="346"/>
      <c r="M30" s="346"/>
      <c r="N30" s="346"/>
      <c r="O30" s="346"/>
      <c r="P30" s="346"/>
      <c r="Q30" s="346"/>
      <c r="R30" s="346"/>
      <c r="S30" s="346"/>
      <c r="T30" s="55"/>
      <c r="U30" s="1280" t="s">
        <v>791</v>
      </c>
      <c r="V30" s="1281"/>
      <c r="W30" s="1282"/>
      <c r="X30" s="1283"/>
      <c r="Y30" s="1283"/>
      <c r="Z30" s="1284"/>
      <c r="AA30" s="1285"/>
      <c r="AB30" s="1183"/>
      <c r="AC30" s="1286" t="s">
        <v>792</v>
      </c>
      <c r="AD30" s="1287">
        <f>B73</f>
        <v>100341</v>
      </c>
      <c r="AE30" s="1251" t="str">
        <f>B54</f>
        <v>取引事例</v>
      </c>
      <c r="AF30" s="1252" t="s">
        <v>592</v>
      </c>
      <c r="AG30" s="1253"/>
      <c r="AH30" s="1273" t="str">
        <f>G16</f>
        <v>取引時点</v>
      </c>
      <c r="AI30" s="1274">
        <f>IF(F21=0," ",G21)</f>
        <v>36219</v>
      </c>
      <c r="AJ30" s="1275"/>
      <c r="AK30" s="1276" t="s">
        <v>110</v>
      </c>
      <c r="AL30" s="1277">
        <f>IF(F21=0," ",ROUND(E87,0))</f>
        <v>31</v>
      </c>
      <c r="AM30" s="1278"/>
    </row>
    <row r="31" spans="1:39" ht="30" customHeight="1" thickTop="1">
      <c r="A31" s="1492"/>
      <c r="B31" s="1493"/>
      <c r="C31" s="1493"/>
      <c r="D31" s="1493"/>
      <c r="E31" s="1494"/>
      <c r="F31" s="1494"/>
      <c r="G31" s="1494"/>
      <c r="H31" s="1495"/>
      <c r="I31" s="1495"/>
      <c r="J31" s="1495"/>
      <c r="K31" s="1495"/>
      <c r="L31" s="1495"/>
      <c r="M31" s="1495"/>
      <c r="N31" s="1495"/>
      <c r="O31" s="1495"/>
      <c r="P31" s="1495"/>
      <c r="Q31" s="1495"/>
      <c r="R31" s="1495"/>
      <c r="S31" s="1495"/>
      <c r="T31" s="55"/>
      <c r="U31" s="1932" t="str">
        <f>"事例 [ "&amp;C18&amp;" ]"</f>
        <v>事例 [ 1 ]</v>
      </c>
      <c r="V31" s="1912"/>
      <c r="W31" s="1288" t="str">
        <f>E18</f>
        <v>長良有明町地内</v>
      </c>
      <c r="X31" s="1289"/>
      <c r="Y31" s="1289"/>
      <c r="Z31" s="1290"/>
      <c r="AA31" s="1291" t="str">
        <f>IF(U19=0,0,B64)</f>
        <v>更地</v>
      </c>
      <c r="AB31" s="1292">
        <f>G18</f>
        <v>36118</v>
      </c>
      <c r="AC31" s="1292"/>
      <c r="AD31" s="1293">
        <f>F18</f>
        <v>240</v>
      </c>
      <c r="AE31" s="1251">
        <f>C21</f>
        <v>4</v>
      </c>
      <c r="AF31" s="1252" t="s">
        <v>671</v>
      </c>
      <c r="AG31" s="1253"/>
      <c r="AH31" s="1254" t="str">
        <f>IF(F21=0," ",IF(AL30&lt;=AG61,AH55,IF(AL30&lt;=AG62,AH56,IF(AL30&lt;=AG63,AH57,AH58))))</f>
        <v>（１＋A×経過日数／90日）</v>
      </c>
      <c r="AI31" s="1255"/>
      <c r="AJ31" s="1255"/>
      <c r="AK31" s="1255"/>
      <c r="AL31" s="1255"/>
      <c r="AM31" s="1256"/>
    </row>
    <row r="32" spans="1:39" ht="24.75" customHeight="1" thickBot="1">
      <c r="A32" s="1495" t="s">
        <v>1284</v>
      </c>
      <c r="B32" s="1495"/>
      <c r="C32" s="1495"/>
      <c r="D32" s="346"/>
      <c r="E32" s="1495"/>
      <c r="F32" s="346"/>
      <c r="G32" s="1495"/>
      <c r="H32" s="1495"/>
      <c r="I32" s="1495"/>
      <c r="J32" s="1495"/>
      <c r="K32" s="1495"/>
      <c r="L32" s="1495"/>
      <c r="M32" s="1495"/>
      <c r="N32" s="1495"/>
      <c r="O32" s="1495"/>
      <c r="P32" s="1495"/>
      <c r="Q32" s="1495"/>
      <c r="R32" s="1495"/>
      <c r="S32" s="1495"/>
      <c r="T32" s="55"/>
      <c r="U32" s="1935" t="str">
        <f>"事例 [ "&amp;C19&amp;" ]"</f>
        <v>事例 [ 2 ]</v>
      </c>
      <c r="V32" s="1936"/>
      <c r="W32" s="1294" t="str">
        <f>E19</f>
        <v>長良南陽町地内</v>
      </c>
      <c r="X32" s="1295"/>
      <c r="Y32" s="1295"/>
      <c r="Z32" s="1296"/>
      <c r="AA32" s="1297" t="str">
        <f>IF(U22=0,0,C64)</f>
        <v>更地</v>
      </c>
      <c r="AB32" s="1298">
        <f>G19</f>
        <v>35987</v>
      </c>
      <c r="AC32" s="1298"/>
      <c r="AD32" s="1299">
        <f>F19</f>
        <v>185</v>
      </c>
      <c r="AE32" s="1262"/>
      <c r="AF32" s="1263" t="str">
        <f>A60</f>
        <v>時点修正率</v>
      </c>
      <c r="AG32" s="1253"/>
      <c r="AH32" s="1264">
        <f>IF(F21=0," ",E60)</f>
        <v>99.15</v>
      </c>
      <c r="AI32" s="1253"/>
      <c r="AJ32" s="1255"/>
      <c r="AK32" s="1255"/>
      <c r="AL32" s="1255"/>
      <c r="AM32" s="1256"/>
    </row>
    <row r="33" spans="1:39" ht="24.75" customHeight="1" thickBot="1" thickTop="1">
      <c r="A33" s="1496" t="s">
        <v>915</v>
      </c>
      <c r="B33" s="1497">
        <f>C27</f>
        <v>36250</v>
      </c>
      <c r="C33" s="1916" t="s">
        <v>197</v>
      </c>
      <c r="D33" s="1916"/>
      <c r="E33" s="1218" t="s">
        <v>198</v>
      </c>
      <c r="F33" s="1218" t="s">
        <v>263</v>
      </c>
      <c r="G33" s="1498" t="s">
        <v>200</v>
      </c>
      <c r="H33" s="346"/>
      <c r="I33" s="346"/>
      <c r="J33" s="1495"/>
      <c r="K33" s="1495"/>
      <c r="L33" s="1495"/>
      <c r="M33" s="1495"/>
      <c r="N33" s="1495"/>
      <c r="O33" s="1495"/>
      <c r="P33" s="1495"/>
      <c r="Q33" s="1495"/>
      <c r="R33" s="1495"/>
      <c r="S33" s="1495"/>
      <c r="U33" s="1935" t="str">
        <f>"事例 [ "&amp;C20&amp;" ]"</f>
        <v>事例 [ 3 ]</v>
      </c>
      <c r="V33" s="1936"/>
      <c r="W33" s="1300" t="str">
        <f>IF(H20=0," ",E20)</f>
        <v>長良東郷町地内</v>
      </c>
      <c r="X33" s="1295"/>
      <c r="Y33" s="1295"/>
      <c r="Z33" s="1296"/>
      <c r="AA33" s="1297" t="str">
        <f>IF(U25=0,0,D64)</f>
        <v>建付地</v>
      </c>
      <c r="AB33" s="1298">
        <f>G20</f>
        <v>36215</v>
      </c>
      <c r="AC33" s="1298"/>
      <c r="AD33" s="1299">
        <f>F20</f>
        <v>450</v>
      </c>
      <c r="AE33" s="1219"/>
      <c r="AF33" s="1265"/>
      <c r="AG33" s="1190"/>
      <c r="AH33" s="1266"/>
      <c r="AI33" s="1190"/>
      <c r="AJ33" s="1220"/>
      <c r="AK33" s="1220"/>
      <c r="AL33" s="1220"/>
      <c r="AM33" s="1221"/>
    </row>
    <row r="34" spans="1:39" ht="24.75" customHeight="1" thickBot="1" thickTop="1">
      <c r="A34" s="1495" t="s">
        <v>201</v>
      </c>
      <c r="B34" s="1499">
        <f>G22</f>
        <v>36160</v>
      </c>
      <c r="C34" s="1917" t="s">
        <v>376</v>
      </c>
      <c r="D34" s="1917"/>
      <c r="E34" s="1500">
        <v>-10</v>
      </c>
      <c r="F34" s="1501">
        <f>ROUND(E34/365*B36,2)</f>
        <v>-2.47</v>
      </c>
      <c r="G34" s="1502" t="s">
        <v>377</v>
      </c>
      <c r="H34" s="1502"/>
      <c r="I34" s="1502"/>
      <c r="J34" s="1503"/>
      <c r="K34" s="1503"/>
      <c r="L34" s="1503"/>
      <c r="M34" s="1503"/>
      <c r="N34" s="1503"/>
      <c r="O34" s="1503"/>
      <c r="P34" s="1503"/>
      <c r="Q34" s="1503"/>
      <c r="R34" s="1503"/>
      <c r="S34" s="1503"/>
      <c r="U34" s="1933" t="str">
        <f>IF(H21=0,0,"事例 [ "&amp;C21&amp;" ]")</f>
        <v>事例 [ 4 ]</v>
      </c>
      <c r="V34" s="1934"/>
      <c r="W34" s="1301" t="str">
        <f>IF(H21=0," ",E21)</f>
        <v>長良城西町地内</v>
      </c>
      <c r="X34" s="1302"/>
      <c r="Y34" s="1302"/>
      <c r="Z34" s="1303"/>
      <c r="AA34" s="1304" t="str">
        <f>IF(U28=0,0,E64)</f>
        <v>更地</v>
      </c>
      <c r="AB34" s="1305">
        <f>G21</f>
        <v>36219</v>
      </c>
      <c r="AC34" s="1305"/>
      <c r="AD34" s="1306">
        <f>F21</f>
        <v>280</v>
      </c>
      <c r="AE34" s="1268"/>
      <c r="AF34" s="1269"/>
      <c r="AG34" s="1215"/>
      <c r="AH34" s="1270"/>
      <c r="AI34" s="1215"/>
      <c r="AJ34" s="1215"/>
      <c r="AK34" s="1215"/>
      <c r="AL34" s="1215"/>
      <c r="AM34" s="1271"/>
    </row>
    <row r="35" spans="1:39" ht="24.75" customHeight="1" thickBot="1" thickTop="1">
      <c r="A35" s="1504" t="s">
        <v>1325</v>
      </c>
      <c r="B35" s="1505">
        <v>-2</v>
      </c>
      <c r="C35" s="1908" t="s">
        <v>378</v>
      </c>
      <c r="D35" s="1908"/>
      <c r="E35" s="1506">
        <v>-10</v>
      </c>
      <c r="F35" s="1507">
        <f>E35</f>
        <v>-10</v>
      </c>
      <c r="G35" s="1502" t="s">
        <v>398</v>
      </c>
      <c r="H35" s="1508"/>
      <c r="I35" s="1495"/>
      <c r="J35" s="1495"/>
      <c r="K35" s="1495"/>
      <c r="L35" s="1495"/>
      <c r="M35" s="1495" t="s">
        <v>669</v>
      </c>
      <c r="N35" s="1495"/>
      <c r="O35" s="1495"/>
      <c r="P35" s="1495"/>
      <c r="Q35" s="1495"/>
      <c r="R35" s="1495"/>
      <c r="S35" s="1495"/>
      <c r="T35" s="55"/>
      <c r="U35" s="1247" t="s">
        <v>949</v>
      </c>
      <c r="V35" s="1161"/>
      <c r="W35" s="1161"/>
      <c r="X35" s="1307"/>
      <c r="Y35" s="1307"/>
      <c r="Z35" s="1308"/>
      <c r="AA35" s="1309"/>
      <c r="AB35" s="1161"/>
      <c r="AC35" s="1161"/>
      <c r="AD35" s="1309"/>
      <c r="AE35" s="1251" t="str">
        <f>C22</f>
        <v>岐阜ー99</v>
      </c>
      <c r="AF35" s="1252" t="s">
        <v>592</v>
      </c>
      <c r="AG35" s="1253"/>
      <c r="AH35" s="1273" t="s">
        <v>633</v>
      </c>
      <c r="AI35" s="1275">
        <f>G22</f>
        <v>36160</v>
      </c>
      <c r="AJ35" s="1275"/>
      <c r="AK35" s="1276" t="str">
        <f>A87</f>
        <v>経過日数</v>
      </c>
      <c r="AL35" s="1277">
        <f>IF(H22=0,0,F87)</f>
        <v>90</v>
      </c>
      <c r="AM35" s="1278"/>
    </row>
    <row r="36" spans="1:39" ht="24.75" customHeight="1" thickBot="1" thickTop="1">
      <c r="A36" s="1509" t="s">
        <v>413</v>
      </c>
      <c r="B36" s="1510">
        <f>B33-B34</f>
        <v>90</v>
      </c>
      <c r="C36" s="1908" t="s">
        <v>414</v>
      </c>
      <c r="D36" s="1908"/>
      <c r="E36" s="1506">
        <v>-8.5</v>
      </c>
      <c r="F36" s="1507">
        <f>E36</f>
        <v>-8.5</v>
      </c>
      <c r="G36" s="1511"/>
      <c r="H36" s="1508"/>
      <c r="I36" s="1495"/>
      <c r="J36" s="1495"/>
      <c r="K36" s="1495"/>
      <c r="L36" s="1495"/>
      <c r="M36" s="1495"/>
      <c r="N36" s="1495"/>
      <c r="O36" s="1495"/>
      <c r="P36" s="1495"/>
      <c r="Q36" s="1495"/>
      <c r="R36" s="1495"/>
      <c r="S36" s="1495"/>
      <c r="T36" s="55"/>
      <c r="U36" s="1258" t="s">
        <v>570</v>
      </c>
      <c r="V36" s="1259" t="s">
        <v>586</v>
      </c>
      <c r="W36" s="1260" t="s">
        <v>587</v>
      </c>
      <c r="X36" s="1260" t="s">
        <v>441</v>
      </c>
      <c r="Y36" s="1260" t="s">
        <v>898</v>
      </c>
      <c r="Z36" s="1260" t="s">
        <v>603</v>
      </c>
      <c r="AA36" s="1310" t="s">
        <v>442</v>
      </c>
      <c r="AB36" s="1259" t="s">
        <v>604</v>
      </c>
      <c r="AC36" s="1260" t="s">
        <v>602</v>
      </c>
      <c r="AD36" s="1311" t="s">
        <v>878</v>
      </c>
      <c r="AE36" s="1251" t="s">
        <v>669</v>
      </c>
      <c r="AF36" s="1252" t="s">
        <v>671</v>
      </c>
      <c r="AG36" s="1253"/>
      <c r="AH36" s="1254" t="str">
        <f>IF(G22=0,0,IF(AL35&lt;=AG61,AH55,IF(AL35&lt;=AG62,AH56,IF(AL35&lt;=AG63,AH57,AH58))))</f>
        <v>（１＋A×経過日数／90日）</v>
      </c>
      <c r="AI36" s="1255"/>
      <c r="AJ36" s="1255"/>
      <c r="AK36" s="1255"/>
      <c r="AL36" s="1255"/>
      <c r="AM36" s="1256"/>
    </row>
    <row r="37" spans="1:39" ht="24.75" customHeight="1" thickBot="1" thickTop="1">
      <c r="A37" s="1509"/>
      <c r="B37" s="1495"/>
      <c r="C37" s="1909" t="s">
        <v>415</v>
      </c>
      <c r="D37" s="1909"/>
      <c r="E37" s="1512">
        <v>-7</v>
      </c>
      <c r="F37" s="1513">
        <f>E37</f>
        <v>-7</v>
      </c>
      <c r="G37" s="1514"/>
      <c r="H37" s="1508"/>
      <c r="I37" s="1495"/>
      <c r="J37" s="1495"/>
      <c r="K37" s="1495"/>
      <c r="L37" s="1495"/>
      <c r="M37" s="1495"/>
      <c r="N37" s="1495"/>
      <c r="O37" s="1495"/>
      <c r="P37" s="1495"/>
      <c r="Q37" s="1495"/>
      <c r="R37" s="1495"/>
      <c r="S37" s="1495"/>
      <c r="T37" s="55"/>
      <c r="U37" s="1312" t="str">
        <f>U44</f>
        <v>岐阜ー99</v>
      </c>
      <c r="V37" s="1715">
        <v>100</v>
      </c>
      <c r="W37" s="1392">
        <f>IF(H22=0,0,F60)</f>
        <v>97.53</v>
      </c>
      <c r="X37" s="1717">
        <v>100</v>
      </c>
      <c r="Y37" s="1717">
        <v>100</v>
      </c>
      <c r="Z37" s="1313">
        <v>100</v>
      </c>
      <c r="AA37" s="1393"/>
      <c r="AB37" s="1718">
        <v>100</v>
      </c>
      <c r="AC37" s="1394">
        <f>IF(H22=0,0,F70)</f>
        <v>102</v>
      </c>
      <c r="AD37" s="1359"/>
      <c r="AE37" s="1262"/>
      <c r="AF37" s="1263" t="str">
        <f>A60</f>
        <v>時点修正率</v>
      </c>
      <c r="AG37" s="1253"/>
      <c r="AH37" s="1264">
        <f>IF(H22=0,0,F60)</f>
        <v>97.53</v>
      </c>
      <c r="AI37" s="1253"/>
      <c r="AJ37" s="1255"/>
      <c r="AK37" s="1255"/>
      <c r="AL37" s="1255"/>
      <c r="AM37" s="1256"/>
    </row>
    <row r="38" spans="1:39" ht="24.75" customHeight="1" thickTop="1">
      <c r="A38" s="1509"/>
      <c r="B38" s="1495"/>
      <c r="C38" s="1495"/>
      <c r="D38" s="1514"/>
      <c r="E38" s="1495"/>
      <c r="F38" s="1514"/>
      <c r="G38" s="1508"/>
      <c r="H38" s="1495"/>
      <c r="I38" s="1495"/>
      <c r="J38" s="1495"/>
      <c r="K38" s="1495"/>
      <c r="L38" s="1495"/>
      <c r="M38" s="1495"/>
      <c r="N38" s="1495"/>
      <c r="O38" s="1495"/>
      <c r="P38" s="1495"/>
      <c r="Q38" s="1495"/>
      <c r="R38" s="1495"/>
      <c r="S38" s="1495"/>
      <c r="T38" s="55"/>
      <c r="U38" s="1714">
        <f>H22</f>
        <v>120000</v>
      </c>
      <c r="V38" s="1723" t="s">
        <v>152</v>
      </c>
      <c r="W38" s="1727" t="s">
        <v>152</v>
      </c>
      <c r="X38" s="1727" t="s">
        <v>152</v>
      </c>
      <c r="Y38" s="1727" t="s">
        <v>152</v>
      </c>
      <c r="Z38" s="1727" t="s">
        <v>153</v>
      </c>
      <c r="AA38" s="1393">
        <f>F68</f>
        <v>117036</v>
      </c>
      <c r="AB38" s="1718" t="s">
        <v>697</v>
      </c>
      <c r="AC38" s="1732" t="s">
        <v>151</v>
      </c>
      <c r="AD38" s="1359">
        <f>IF(H22=0,0,F71)</f>
        <v>98658</v>
      </c>
      <c r="AE38" s="1219"/>
      <c r="AF38" s="1265"/>
      <c r="AG38" s="1190"/>
      <c r="AH38" s="1266"/>
      <c r="AI38" s="1190"/>
      <c r="AJ38" s="1220"/>
      <c r="AK38" s="1220"/>
      <c r="AL38" s="1220"/>
      <c r="AM38" s="1221"/>
    </row>
    <row r="39" spans="1:39" ht="24.75" customHeight="1" thickBot="1">
      <c r="A39" s="346" t="s">
        <v>634</v>
      </c>
      <c r="B39" s="1495"/>
      <c r="C39" s="1515" t="s">
        <v>284</v>
      </c>
      <c r="D39" s="1516" t="s">
        <v>997</v>
      </c>
      <c r="E39" s="346"/>
      <c r="F39" s="1516">
        <v>0</v>
      </c>
      <c r="G39" s="1495"/>
      <c r="H39" s="1495"/>
      <c r="I39" s="1495"/>
      <c r="J39" s="1495"/>
      <c r="K39" s="1495"/>
      <c r="L39" s="1495" t="s">
        <v>669</v>
      </c>
      <c r="M39" s="1495"/>
      <c r="N39" s="1495"/>
      <c r="O39" s="1495"/>
      <c r="P39" s="1495"/>
      <c r="Q39" s="1495"/>
      <c r="R39" s="1495"/>
      <c r="S39" s="1495"/>
      <c r="T39" s="55"/>
      <c r="U39" s="1315"/>
      <c r="V39" s="1395">
        <f>IF(H22=0,0,F63)</f>
        <v>100</v>
      </c>
      <c r="W39" s="1716">
        <v>100</v>
      </c>
      <c r="X39" s="1396" t="str">
        <f>IF(H22=0,0,IF(L22=2,F65,"／"))</f>
        <v>／</v>
      </c>
      <c r="Y39" s="1396">
        <f>F66</f>
        <v>100</v>
      </c>
      <c r="Z39" s="1396">
        <f>IF(H22=0,0,F67)</f>
        <v>100</v>
      </c>
      <c r="AA39" s="1397"/>
      <c r="AB39" s="1395">
        <f>IF(H22=0,0,F69)</f>
        <v>121</v>
      </c>
      <c r="AC39" s="1719">
        <v>100</v>
      </c>
      <c r="AD39" s="1398"/>
      <c r="AE39" s="1268"/>
      <c r="AF39" s="1269"/>
      <c r="AG39" s="1215"/>
      <c r="AH39" s="1270"/>
      <c r="AI39" s="1215"/>
      <c r="AJ39" s="1215"/>
      <c r="AK39" s="1215"/>
      <c r="AL39" s="1215"/>
      <c r="AM39" s="1271"/>
    </row>
    <row r="40" spans="1:39" ht="24.75" customHeight="1" thickBot="1">
      <c r="A40" s="1517" t="s">
        <v>864</v>
      </c>
      <c r="B40" s="1518">
        <f>ROUND(B73,B35)</f>
        <v>100300</v>
      </c>
      <c r="C40" s="1519">
        <f>IF(C41=1,0,1)</f>
        <v>1</v>
      </c>
      <c r="D40" s="1516"/>
      <c r="E40" s="1520" t="s">
        <v>865</v>
      </c>
      <c r="F40" s="1521" t="s">
        <v>758</v>
      </c>
      <c r="G40" s="1495"/>
      <c r="H40" s="1495"/>
      <c r="I40" s="1495"/>
      <c r="J40" s="1495"/>
      <c r="K40" s="1495"/>
      <c r="L40" s="1495" t="s">
        <v>669</v>
      </c>
      <c r="M40" s="1495"/>
      <c r="N40" s="1495"/>
      <c r="O40" s="1495"/>
      <c r="P40" s="1495"/>
      <c r="Q40" s="1495"/>
      <c r="R40" s="1495"/>
      <c r="S40" s="1495"/>
      <c r="T40" s="55"/>
      <c r="U40" s="1312" t="str">
        <f>U45</f>
        <v> </v>
      </c>
      <c r="V40" s="1722">
        <v>100</v>
      </c>
      <c r="W40" s="1394">
        <f>IF(H23=0,0,G60)</f>
        <v>0</v>
      </c>
      <c r="X40" s="1313">
        <v>100</v>
      </c>
      <c r="Y40" s="1313">
        <v>100</v>
      </c>
      <c r="Z40" s="1313">
        <v>100</v>
      </c>
      <c r="AA40" s="1393"/>
      <c r="AB40" s="1718">
        <v>100</v>
      </c>
      <c r="AC40" s="1394">
        <f>IF(H23=0,0,G70)</f>
        <v>0</v>
      </c>
      <c r="AD40" s="1359"/>
      <c r="AE40" s="1251">
        <f>C23</f>
        <v>0</v>
      </c>
      <c r="AF40" s="1252" t="s">
        <v>592</v>
      </c>
      <c r="AG40" s="1253"/>
      <c r="AH40" s="1273" t="s">
        <v>633</v>
      </c>
      <c r="AI40" s="1275">
        <f>G23</f>
        <v>0</v>
      </c>
      <c r="AJ40" s="1275"/>
      <c r="AK40" s="1276" t="str">
        <f>A87</f>
        <v>経過日数</v>
      </c>
      <c r="AL40" s="1277">
        <f>IF(H23=0,0,G87)</f>
        <v>0</v>
      </c>
      <c r="AM40" s="1278"/>
    </row>
    <row r="41" spans="1:39" ht="24.75" customHeight="1" thickBot="1" thickTop="1">
      <c r="A41" s="1517" t="s">
        <v>895</v>
      </c>
      <c r="B41" s="1522">
        <f>ROUND(D73,B35)</f>
        <v>0</v>
      </c>
      <c r="C41" s="1523">
        <v>0</v>
      </c>
      <c r="D41" s="18"/>
      <c r="E41" s="1524">
        <f>ROUND(E50/B70*100,B35)</f>
        <v>95600</v>
      </c>
      <c r="F41" s="1525">
        <v>1</v>
      </c>
      <c r="G41" s="1503"/>
      <c r="H41" s="1503"/>
      <c r="I41" s="1503"/>
      <c r="J41" s="1503"/>
      <c r="K41" s="1503"/>
      <c r="L41" s="1503"/>
      <c r="M41" s="1503"/>
      <c r="N41" s="1503"/>
      <c r="O41" s="1503"/>
      <c r="P41" s="1503"/>
      <c r="Q41" s="1503"/>
      <c r="R41" s="1503"/>
      <c r="S41" s="1503"/>
      <c r="T41" s="55"/>
      <c r="U41" s="1714">
        <f>H23</f>
        <v>0</v>
      </c>
      <c r="V41" s="1723" t="s">
        <v>152</v>
      </c>
      <c r="W41" s="1727" t="s">
        <v>152</v>
      </c>
      <c r="X41" s="1727" t="s">
        <v>152</v>
      </c>
      <c r="Y41" s="1727" t="s">
        <v>152</v>
      </c>
      <c r="Z41" s="1727" t="s">
        <v>153</v>
      </c>
      <c r="AA41" s="1393">
        <f>IF(H23=0,0,G68)</f>
        <v>0</v>
      </c>
      <c r="AB41" s="1718" t="s">
        <v>697</v>
      </c>
      <c r="AC41" s="1732" t="s">
        <v>151</v>
      </c>
      <c r="AD41" s="1359">
        <f>IF(H23=0,0,G71)</f>
        <v>0</v>
      </c>
      <c r="AE41" s="1251" t="s">
        <v>669</v>
      </c>
      <c r="AF41" s="1252" t="s">
        <v>671</v>
      </c>
      <c r="AG41" s="1253"/>
      <c r="AH41" s="1254">
        <f>IF(G23=0,0,IF(AL40&lt;=AG61,AH55,IF(AL40&lt;=AG62,AH56,IF(AL40&lt;=AG63,AH57,AH58))))</f>
        <v>0</v>
      </c>
      <c r="AI41" s="1255"/>
      <c r="AJ41" s="1255"/>
      <c r="AK41" s="1255"/>
      <c r="AL41" s="1255"/>
      <c r="AM41" s="1256"/>
    </row>
    <row r="42" spans="1:39" ht="24.75" customHeight="1" thickBot="1" thickTop="1">
      <c r="A42" s="1526" t="s">
        <v>583</v>
      </c>
      <c r="B42" s="1527">
        <v>0</v>
      </c>
      <c r="C42" s="1528">
        <f>IF(B42&gt;1,1,0)</f>
        <v>0</v>
      </c>
      <c r="D42" s="18"/>
      <c r="E42" s="549"/>
      <c r="F42" s="18"/>
      <c r="G42" s="796"/>
      <c r="H42" s="796"/>
      <c r="I42" s="796"/>
      <c r="J42" s="796"/>
      <c r="K42" s="796"/>
      <c r="L42" s="796"/>
      <c r="M42" s="796"/>
      <c r="N42" s="796"/>
      <c r="O42" s="796"/>
      <c r="P42" s="796"/>
      <c r="Q42" s="796"/>
      <c r="R42" s="796"/>
      <c r="S42" s="796"/>
      <c r="T42" s="55"/>
      <c r="U42" s="1316"/>
      <c r="V42" s="1399">
        <f>IF(H23=0,0,G63)</f>
        <v>0</v>
      </c>
      <c r="W42" s="1721">
        <v>100</v>
      </c>
      <c r="X42" s="1400">
        <f>IF(H23=0,0,IF(L23=2,G65,"／"))</f>
        <v>0</v>
      </c>
      <c r="Y42" s="1400">
        <f>G66</f>
        <v>100</v>
      </c>
      <c r="Z42" s="1400">
        <f>IF(H23=0,0,G67)</f>
        <v>0</v>
      </c>
      <c r="AA42" s="1401"/>
      <c r="AB42" s="1399">
        <f>IF(H23=0,0,G69)</f>
        <v>0</v>
      </c>
      <c r="AC42" s="1720">
        <v>100</v>
      </c>
      <c r="AD42" s="1402"/>
      <c r="AE42" s="1262"/>
      <c r="AF42" s="1263" t="str">
        <f>A60</f>
        <v>時点修正率</v>
      </c>
      <c r="AG42" s="1253"/>
      <c r="AH42" s="1264">
        <f>IF(H23=0,0,G60)</f>
        <v>0</v>
      </c>
      <c r="AI42" s="1253"/>
      <c r="AJ42" s="1255"/>
      <c r="AK42" s="1255"/>
      <c r="AL42" s="1255"/>
      <c r="AM42" s="1256"/>
    </row>
    <row r="43" spans="1:39" ht="24.75" customHeight="1" thickBot="1" thickTop="1">
      <c r="A43" s="1529" t="str">
        <f>X16</f>
        <v>  ※比準価格は試算結果の［平均値］を基礎にして端数処理の上、査定する。</v>
      </c>
      <c r="B43" s="549"/>
      <c r="C43" s="1530"/>
      <c r="D43" s="18"/>
      <c r="E43" s="549"/>
      <c r="F43" s="18"/>
      <c r="G43" s="796"/>
      <c r="H43" s="796"/>
      <c r="I43" s="796"/>
      <c r="J43" s="796"/>
      <c r="K43" s="796"/>
      <c r="L43" s="796"/>
      <c r="M43" s="796"/>
      <c r="N43" s="796"/>
      <c r="O43" s="796"/>
      <c r="P43" s="796"/>
      <c r="Q43" s="796"/>
      <c r="R43" s="796"/>
      <c r="S43" s="796"/>
      <c r="T43" s="55"/>
      <c r="U43" s="1317" t="s">
        <v>373</v>
      </c>
      <c r="V43" s="1318"/>
      <c r="W43" s="1319"/>
      <c r="X43" s="1320"/>
      <c r="Y43" s="1320"/>
      <c r="Z43" s="1320"/>
      <c r="AA43" s="1321"/>
      <c r="AB43" s="1190"/>
      <c r="AC43" s="1190"/>
      <c r="AD43" s="1322"/>
      <c r="AE43" s="1219"/>
      <c r="AF43" s="1265"/>
      <c r="AG43" s="1190"/>
      <c r="AH43" s="1266"/>
      <c r="AI43" s="1190"/>
      <c r="AJ43" s="1220"/>
      <c r="AK43" s="1220"/>
      <c r="AL43" s="1220"/>
      <c r="AM43" s="1221"/>
    </row>
    <row r="44" spans="1:39" ht="24.75" customHeight="1" thickBot="1">
      <c r="A44" s="549"/>
      <c r="B44" s="549"/>
      <c r="C44" s="1531"/>
      <c r="D44" s="18"/>
      <c r="E44" s="1532" t="str">
        <f>IF(B42&gt;0,"独自査定",IF(C41=1,"重視採用","平均採用"))</f>
        <v>平均採用</v>
      </c>
      <c r="F44" s="1533" t="s">
        <v>879</v>
      </c>
      <c r="G44" s="1503"/>
      <c r="H44" s="1503"/>
      <c r="I44" s="1503"/>
      <c r="J44" s="1503"/>
      <c r="K44" s="1503"/>
      <c r="L44" s="1503"/>
      <c r="M44" s="1503"/>
      <c r="N44" s="1503"/>
      <c r="O44" s="1503"/>
      <c r="P44" s="1503"/>
      <c r="Q44" s="1503"/>
      <c r="R44" s="1503"/>
      <c r="S44" s="1503"/>
      <c r="T44" s="55"/>
      <c r="U44" s="1323" t="str">
        <f>IF(H22=0,"規準不採用",C22)</f>
        <v>岐阜ー99</v>
      </c>
      <c r="V44" s="1324"/>
      <c r="W44" s="1325" t="str">
        <f>IF(E22=0," ","　"&amp;E22)</f>
        <v>　長良太平町３丁目７７</v>
      </c>
      <c r="X44" s="1320"/>
      <c r="Y44" s="1320"/>
      <c r="Z44" s="1320"/>
      <c r="AA44" s="1324" t="str">
        <f>IF(H22=0,0,F64)</f>
        <v>更地</v>
      </c>
      <c r="AB44" s="1326">
        <f>G22</f>
        <v>36160</v>
      </c>
      <c r="AC44" s="1326"/>
      <c r="AD44" s="1327">
        <f>F22</f>
        <v>225</v>
      </c>
      <c r="AE44" s="1328"/>
      <c r="AF44" s="1329"/>
      <c r="AG44" s="1174"/>
      <c r="AH44" s="1330"/>
      <c r="AI44" s="1174"/>
      <c r="AJ44" s="1227"/>
      <c r="AK44" s="1227"/>
      <c r="AL44" s="1227"/>
      <c r="AM44" s="1178"/>
    </row>
    <row r="45" spans="1:39" ht="24.75" customHeight="1" thickBot="1">
      <c r="A45" s="1534" t="s">
        <v>880</v>
      </c>
      <c r="B45" s="1535"/>
      <c r="C45" s="1536"/>
      <c r="D45" s="1537" t="s">
        <v>359</v>
      </c>
      <c r="E45" s="1538">
        <f>IF(B42&gt;0,B42,IF(C41=1,B41,B40))</f>
        <v>100300</v>
      </c>
      <c r="F45" s="1539">
        <f>E45/E50</f>
        <v>1.0287179487179487</v>
      </c>
      <c r="G45" s="1503"/>
      <c r="H45" s="1503"/>
      <c r="I45" s="1503"/>
      <c r="J45" s="1503"/>
      <c r="K45" s="1503"/>
      <c r="L45" s="1503"/>
      <c r="M45" s="1503"/>
      <c r="N45" s="1503"/>
      <c r="O45" s="1503"/>
      <c r="P45" s="1503"/>
      <c r="Q45" s="1503"/>
      <c r="R45" s="1503"/>
      <c r="S45" s="1503"/>
      <c r="T45" s="55"/>
      <c r="U45" s="1331" t="str">
        <f>IF(H23=0," ",C23)</f>
        <v> </v>
      </c>
      <c r="V45" s="1332"/>
      <c r="W45" s="1333" t="str">
        <f>IF(E23=0," ","　"&amp;E23)</f>
        <v> </v>
      </c>
      <c r="X45" s="1334"/>
      <c r="Y45" s="1334"/>
      <c r="Z45" s="1334"/>
      <c r="AA45" s="1332">
        <f>IF(H23=0,0,G64)</f>
        <v>0</v>
      </c>
      <c r="AB45" s="1335">
        <f>G23</f>
        <v>0</v>
      </c>
      <c r="AC45" s="1335"/>
      <c r="AD45" s="1336">
        <f>F23</f>
        <v>0</v>
      </c>
      <c r="AE45" s="1161"/>
      <c r="AF45" s="1161"/>
      <c r="AG45" s="1161"/>
      <c r="AH45" s="1161"/>
      <c r="AI45" s="1161"/>
      <c r="AJ45" s="1161"/>
      <c r="AK45" s="1161"/>
      <c r="AL45" s="1161"/>
      <c r="AM45" s="1161"/>
    </row>
    <row r="46" spans="1:39" ht="24.75" customHeight="1" thickBot="1" thickTop="1">
      <c r="A46" s="1540" t="s">
        <v>426</v>
      </c>
      <c r="B46" s="1541">
        <v>0.97</v>
      </c>
      <c r="C46" s="1531"/>
      <c r="D46" s="1542" t="s">
        <v>421</v>
      </c>
      <c r="E46" s="1543">
        <f>ROUND(F71,B35)</f>
        <v>98700</v>
      </c>
      <c r="F46" s="1544">
        <f>E46/E50</f>
        <v>1.0123076923076924</v>
      </c>
      <c r="G46" s="796"/>
      <c r="H46" s="796"/>
      <c r="I46" s="796"/>
      <c r="J46" s="796"/>
      <c r="K46" s="796"/>
      <c r="L46" s="796"/>
      <c r="M46" s="796"/>
      <c r="N46" s="796"/>
      <c r="O46" s="796"/>
      <c r="P46" s="796"/>
      <c r="Q46" s="796"/>
      <c r="R46" s="796"/>
      <c r="S46" s="796"/>
      <c r="T46" s="55"/>
      <c r="U46" s="1220" t="s">
        <v>1329</v>
      </c>
      <c r="V46" s="1337"/>
      <c r="W46" s="1193" t="s">
        <v>997</v>
      </c>
      <c r="X46" s="1338"/>
      <c r="Y46" s="1338"/>
      <c r="Z46" s="1314"/>
      <c r="AA46" s="1313"/>
      <c r="AB46" s="1314"/>
      <c r="AC46" s="1314"/>
      <c r="AD46" s="1339"/>
      <c r="AE46" s="1151" t="s">
        <v>416</v>
      </c>
      <c r="AG46" s="1161"/>
      <c r="AH46" s="1161"/>
      <c r="AI46" s="1161"/>
      <c r="AJ46" s="1161"/>
      <c r="AK46" s="1161"/>
      <c r="AL46" s="1161"/>
      <c r="AM46" s="1161"/>
    </row>
    <row r="47" spans="1:39" ht="24.75" customHeight="1" thickTop="1">
      <c r="A47" s="1545" t="s">
        <v>1010</v>
      </c>
      <c r="B47" s="1546">
        <v>3</v>
      </c>
      <c r="C47" s="1531" t="s">
        <v>669</v>
      </c>
      <c r="D47" s="1542" t="s">
        <v>1282</v>
      </c>
      <c r="E47" s="1543">
        <f>ROUND(G71,B35)</f>
        <v>0</v>
      </c>
      <c r="F47" s="1544">
        <f>E47/E50</f>
        <v>0</v>
      </c>
      <c r="G47" s="796"/>
      <c r="H47" s="796"/>
      <c r="I47" s="796"/>
      <c r="J47" s="796"/>
      <c r="K47" s="796"/>
      <c r="L47" s="796"/>
      <c r="M47" s="796"/>
      <c r="N47" s="796"/>
      <c r="O47" s="796"/>
      <c r="P47" s="796"/>
      <c r="Q47" s="796"/>
      <c r="R47" s="796"/>
      <c r="S47" s="796"/>
      <c r="T47" s="55"/>
      <c r="U47" s="1340" t="s">
        <v>1330</v>
      </c>
      <c r="V47" s="1403">
        <f>IF(F41=0,0,'収益価格'!V47)</f>
        <v>4888892</v>
      </c>
      <c r="W47" s="1404"/>
      <c r="X47" s="1341" t="s">
        <v>1331</v>
      </c>
      <c r="Y47" s="1342"/>
      <c r="Z47" s="1343"/>
      <c r="AA47" s="1158" t="s">
        <v>1111</v>
      </c>
      <c r="AB47" s="1343"/>
      <c r="AC47" s="1344" t="s">
        <v>1084</v>
      </c>
      <c r="AD47" s="1345"/>
      <c r="AE47" s="1151" t="s">
        <v>417</v>
      </c>
      <c r="AF47" s="1161"/>
      <c r="AG47" s="1161"/>
      <c r="AH47" s="1161"/>
      <c r="AI47" s="1161"/>
      <c r="AJ47" s="1161"/>
      <c r="AK47" s="1161"/>
      <c r="AL47" s="1161"/>
      <c r="AM47" s="1161"/>
    </row>
    <row r="48" spans="1:39" ht="24.75" customHeight="1" thickBot="1">
      <c r="A48" s="1547" t="s">
        <v>374</v>
      </c>
      <c r="B48" s="1548">
        <v>1</v>
      </c>
      <c r="C48" s="1549" t="s">
        <v>278</v>
      </c>
      <c r="D48" s="1542" t="s">
        <v>1170</v>
      </c>
      <c r="E48" s="1543">
        <f>IF(F41=1,ROUND('収益価格'!D80,B35),0)</f>
        <v>89800</v>
      </c>
      <c r="F48" s="1544">
        <f>E48/E50</f>
        <v>0.921025641025641</v>
      </c>
      <c r="G48" s="796"/>
      <c r="H48" s="796"/>
      <c r="I48" s="796"/>
      <c r="J48" s="796"/>
      <c r="K48" s="796"/>
      <c r="L48" s="796"/>
      <c r="M48" s="796"/>
      <c r="N48" s="796"/>
      <c r="O48" s="796"/>
      <c r="P48" s="796"/>
      <c r="Q48" s="796"/>
      <c r="R48" s="796"/>
      <c r="S48" s="796"/>
      <c r="T48" s="55"/>
      <c r="U48" s="1346" t="s">
        <v>1112</v>
      </c>
      <c r="V48" s="1405">
        <f>IF(F41=0,0,'収益価格'!V49)</f>
        <v>1046550</v>
      </c>
      <c r="W48" s="1406"/>
      <c r="X48" s="1405">
        <f>IF(F41=0,0,'収益価格'!V53)</f>
        <v>2774554</v>
      </c>
      <c r="Y48" s="1407"/>
      <c r="Z48" s="1406"/>
      <c r="AA48" s="1405">
        <f>IF(F41=0,0,'収益価格'!V57)</f>
        <v>1033405</v>
      </c>
      <c r="AB48" s="1406"/>
      <c r="AC48" s="1413" t="s">
        <v>669</v>
      </c>
      <c r="AD48" s="1414"/>
      <c r="AE48" s="1151" t="s">
        <v>244</v>
      </c>
      <c r="AF48" s="1161"/>
      <c r="AG48" s="1161"/>
      <c r="AH48" s="1161"/>
      <c r="AI48" s="1161"/>
      <c r="AJ48" s="1161"/>
      <c r="AK48" s="1161"/>
      <c r="AL48" s="1161"/>
      <c r="AM48" s="1161"/>
    </row>
    <row r="49" spans="1:39" ht="24.75" customHeight="1" thickBot="1" thickTop="1">
      <c r="A49" s="1550" t="s">
        <v>896</v>
      </c>
      <c r="B49" s="1551">
        <f>ROUNDDOWN(E45*B46,B35)</f>
        <v>97200</v>
      </c>
      <c r="C49" s="1552">
        <f>IF(C50=1,0,1)</f>
        <v>1</v>
      </c>
      <c r="D49" s="1553" t="s">
        <v>245</v>
      </c>
      <c r="E49" s="1554">
        <v>0</v>
      </c>
      <c r="F49" s="1555">
        <f>E49/E50</f>
        <v>0</v>
      </c>
      <c r="G49" s="1556"/>
      <c r="H49" s="1556"/>
      <c r="I49" s="1556"/>
      <c r="J49" s="1556"/>
      <c r="K49" s="1556"/>
      <c r="L49" s="1556"/>
      <c r="M49" s="1556"/>
      <c r="N49" s="1556"/>
      <c r="O49" s="1556"/>
      <c r="P49" s="1556"/>
      <c r="Q49" s="1556"/>
      <c r="R49" s="1556"/>
      <c r="S49" s="1556"/>
      <c r="T49" s="55"/>
      <c r="U49" s="1323" t="s">
        <v>1115</v>
      </c>
      <c r="V49" s="1405">
        <f>IF(F41=0,0,'収益価格'!V51)</f>
        <v>3842342</v>
      </c>
      <c r="W49" s="1406"/>
      <c r="X49" s="1347" t="s">
        <v>1116</v>
      </c>
      <c r="Y49" s="1348"/>
      <c r="Z49" s="1349"/>
      <c r="AA49" s="1347" t="s">
        <v>1117</v>
      </c>
      <c r="AB49" s="1349"/>
      <c r="AC49" s="1415">
        <f>IF(F41=0,0,E48)</f>
        <v>89800</v>
      </c>
      <c r="AD49" s="1416"/>
      <c r="AE49" s="1151" t="s">
        <v>164</v>
      </c>
      <c r="AF49" s="1161"/>
      <c r="AG49" s="1161"/>
      <c r="AH49" s="1161"/>
      <c r="AI49" s="1161"/>
      <c r="AJ49" s="1161"/>
      <c r="AK49" s="1161"/>
      <c r="AL49" s="1161"/>
      <c r="AM49" s="1161"/>
    </row>
    <row r="50" spans="1:39" ht="24.75" customHeight="1" thickBot="1">
      <c r="A50" s="1557" t="s">
        <v>917</v>
      </c>
      <c r="B50" s="1558">
        <f>IF(E48=0,0,ROUND((E45*B47+E48*B48)/(B47+B48),B35))</f>
        <v>97700</v>
      </c>
      <c r="C50" s="1559">
        <v>0</v>
      </c>
      <c r="D50" s="1560" t="s">
        <v>1057</v>
      </c>
      <c r="E50" s="1561">
        <f>IF(B51&gt;0,B51,IF(C50=1,B50,IF(C49=1,B49,"選択不適")))</f>
        <v>97500</v>
      </c>
      <c r="F50" s="1562"/>
      <c r="G50" s="796"/>
      <c r="H50" s="796"/>
      <c r="I50" s="796"/>
      <c r="J50" s="796"/>
      <c r="K50" s="796"/>
      <c r="L50" s="796"/>
      <c r="M50" s="796"/>
      <c r="N50" s="796"/>
      <c r="O50" s="796"/>
      <c r="P50" s="796"/>
      <c r="Q50" s="796"/>
      <c r="R50" s="796"/>
      <c r="S50" s="796"/>
      <c r="T50" s="55"/>
      <c r="U50" s="1328"/>
      <c r="V50" s="1227"/>
      <c r="W50" s="1227"/>
      <c r="X50" s="1408">
        <f>IF(F41=0,0,'収益価格'!V55)</f>
        <v>1067788</v>
      </c>
      <c r="Y50" s="1409"/>
      <c r="Z50" s="1410"/>
      <c r="AA50" s="1411">
        <f>IF(F41=0,0,'収益価格'!W59)</f>
        <v>0.045000000000000005</v>
      </c>
      <c r="AB50" s="1412"/>
      <c r="AC50" s="1417" t="str">
        <f>IF(F41=0,0,"（標準画地収益価格）")</f>
        <v>（標準画地収益価格）</v>
      </c>
      <c r="AD50" s="1391"/>
      <c r="AE50" s="1151" t="s">
        <v>312</v>
      </c>
      <c r="AF50" s="1161"/>
      <c r="AG50" s="1161"/>
      <c r="AH50" s="1161"/>
      <c r="AI50" s="1161"/>
      <c r="AJ50" s="1161"/>
      <c r="AK50" s="1161"/>
      <c r="AL50" s="1161"/>
      <c r="AM50" s="1161"/>
    </row>
    <row r="51" spans="1:39" ht="24.75" customHeight="1" thickBot="1" thickTop="1">
      <c r="A51" s="1563" t="s">
        <v>1058</v>
      </c>
      <c r="B51" s="1564">
        <v>97500</v>
      </c>
      <c r="C51" s="19"/>
      <c r="D51" s="1565" t="s">
        <v>360</v>
      </c>
      <c r="E51" s="1566">
        <f>ROUNDDOWN(E50*E29,-3)</f>
        <v>24929000</v>
      </c>
      <c r="F51" s="1567"/>
      <c r="G51" s="796"/>
      <c r="H51" s="796"/>
      <c r="I51" s="796"/>
      <c r="J51" s="796"/>
      <c r="K51" s="796"/>
      <c r="L51" s="796"/>
      <c r="M51" s="796"/>
      <c r="N51" s="796"/>
      <c r="O51" s="796"/>
      <c r="P51" s="796"/>
      <c r="Q51" s="796"/>
      <c r="R51" s="796"/>
      <c r="S51" s="796"/>
      <c r="T51" s="55"/>
      <c r="U51" s="1182" t="s">
        <v>1301</v>
      </c>
      <c r="V51" s="1350"/>
      <c r="W51" s="1351" t="str">
        <f>IF(F41=1,"　収益価格は直接法により試算するものであり、別紙の６以下に詳細数値を記載する。"," 　適切な賃貸事例が得られず、収益価格は試算しない。")</f>
        <v>　収益価格は直接法により試算するものであり、別紙の６以下に詳細数値を記載する。</v>
      </c>
      <c r="X51" s="1183"/>
      <c r="Y51" s="1183"/>
      <c r="Z51" s="1183"/>
      <c r="AA51" s="1352"/>
      <c r="AB51" s="1352"/>
      <c r="AC51" s="1352"/>
      <c r="AD51" s="1353"/>
      <c r="AE51" s="1151" t="s">
        <v>313</v>
      </c>
      <c r="AF51" s="1161"/>
      <c r="AG51" s="1161"/>
      <c r="AH51" s="1161"/>
      <c r="AI51" s="1161"/>
      <c r="AJ51" s="1161"/>
      <c r="AK51" s="1161"/>
      <c r="AL51" s="1161"/>
      <c r="AM51" s="1161"/>
    </row>
    <row r="52" spans="1:39" ht="24.75" customHeight="1" thickTop="1">
      <c r="A52" s="1568" t="str">
        <f>"※評価額は、"&amp;IF(E50=B49,"比準価格調整値",IF(E50=B50,"比準・収益加重平均値",IF(E50=B51,"中庸査定値","未検討")))&amp;"にて査定する。"</f>
        <v>※評価額は、中庸査定値にて査定する。</v>
      </c>
      <c r="B52" s="796"/>
      <c r="C52" s="796"/>
      <c r="D52" s="1569"/>
      <c r="E52" s="1570"/>
      <c r="F52" s="1571"/>
      <c r="G52" s="796"/>
      <c r="H52" s="796"/>
      <c r="I52" s="796"/>
      <c r="J52" s="796"/>
      <c r="K52" s="796"/>
      <c r="L52" s="796"/>
      <c r="M52" s="796"/>
      <c r="N52" s="549"/>
      <c r="O52" s="549"/>
      <c r="P52" s="549"/>
      <c r="Q52" s="549"/>
      <c r="R52" s="549"/>
      <c r="S52" s="549"/>
      <c r="T52" s="55"/>
      <c r="AE52" s="1151" t="s">
        <v>247</v>
      </c>
      <c r="AF52" s="1161"/>
      <c r="AG52" s="1161"/>
      <c r="AH52" s="1161"/>
      <c r="AI52" s="1161"/>
      <c r="AJ52" s="1161"/>
      <c r="AK52" s="1161"/>
      <c r="AL52" s="1161"/>
      <c r="AM52" s="1161"/>
    </row>
    <row r="53" spans="1:39" ht="24.75" customHeight="1">
      <c r="A53" s="1568" t="s">
        <v>1223</v>
      </c>
      <c r="B53" s="796"/>
      <c r="C53" s="796"/>
      <c r="D53" s="18"/>
      <c r="E53" s="796"/>
      <c r="F53" s="18"/>
      <c r="G53" s="796"/>
      <c r="H53" s="796"/>
      <c r="I53" s="796"/>
      <c r="J53" s="796"/>
      <c r="K53" s="796"/>
      <c r="L53" s="796"/>
      <c r="M53" s="796"/>
      <c r="N53" s="549"/>
      <c r="O53" s="549"/>
      <c r="P53" s="549"/>
      <c r="Q53" s="549"/>
      <c r="R53" s="549"/>
      <c r="S53" s="549"/>
      <c r="T53" s="55"/>
      <c r="AE53" s="1161"/>
      <c r="AF53" s="1161"/>
      <c r="AG53" s="1161"/>
      <c r="AH53" s="1161"/>
      <c r="AI53" s="1161"/>
      <c r="AJ53" s="1161"/>
      <c r="AK53" s="1161"/>
      <c r="AL53" s="1161"/>
      <c r="AM53" s="1161"/>
    </row>
    <row r="54" spans="1:20" ht="24.75" customHeight="1">
      <c r="A54" s="1550" t="str">
        <f>B16</f>
        <v>検索コード</v>
      </c>
      <c r="B54" s="1572" t="s">
        <v>1113</v>
      </c>
      <c r="C54" s="1572" t="s">
        <v>1113</v>
      </c>
      <c r="D54" s="1572" t="s">
        <v>1113</v>
      </c>
      <c r="E54" s="1572" t="s">
        <v>1113</v>
      </c>
      <c r="F54" s="1572" t="s">
        <v>1114</v>
      </c>
      <c r="G54" s="1572" t="s">
        <v>1114</v>
      </c>
      <c r="H54" s="796"/>
      <c r="I54" s="796"/>
      <c r="J54" s="796"/>
      <c r="K54" s="796"/>
      <c r="L54" s="796"/>
      <c r="M54" s="796"/>
      <c r="N54" s="796"/>
      <c r="O54" s="796"/>
      <c r="P54" s="796"/>
      <c r="Q54" s="796"/>
      <c r="R54" s="796"/>
      <c r="S54" s="796"/>
      <c r="T54" s="55"/>
    </row>
    <row r="55" spans="1:39" ht="24.75" customHeight="1">
      <c r="A55" s="1550" t="str">
        <f>C16</f>
        <v>資料番号</v>
      </c>
      <c r="B55" s="1572">
        <f>C18</f>
        <v>1</v>
      </c>
      <c r="C55" s="1572">
        <f>C19</f>
        <v>2</v>
      </c>
      <c r="D55" s="1572">
        <f>C20</f>
        <v>3</v>
      </c>
      <c r="E55" s="1572">
        <f>C21</f>
        <v>4</v>
      </c>
      <c r="F55" s="1572" t="str">
        <f>C22</f>
        <v>岐阜ー99</v>
      </c>
      <c r="G55" s="1572">
        <f>C23</f>
        <v>0</v>
      </c>
      <c r="H55" s="549"/>
      <c r="I55" s="549"/>
      <c r="J55" s="549"/>
      <c r="K55" s="549"/>
      <c r="L55" s="549"/>
      <c r="M55" s="549"/>
      <c r="N55" s="796"/>
      <c r="O55" s="796"/>
      <c r="P55" s="796"/>
      <c r="Q55" s="796"/>
      <c r="R55" s="796"/>
      <c r="S55" s="796"/>
      <c r="T55" s="55"/>
      <c r="AE55" s="1354"/>
      <c r="AF55" s="1355" t="str">
        <f>"×経過日数／"&amp;AG61&amp;"日）"</f>
        <v>×経過日数／90日）</v>
      </c>
      <c r="AG55" s="1355"/>
      <c r="AH55" s="1355" t="str">
        <f>"（１＋A"&amp;AF55</f>
        <v>（１＋A×経過日数／90日）</v>
      </c>
      <c r="AI55" s="1355"/>
      <c r="AJ55" s="1355"/>
      <c r="AK55" s="1354"/>
      <c r="AL55" s="1354"/>
      <c r="AM55" s="1354"/>
    </row>
    <row r="56" spans="1:39" ht="24.75" customHeight="1">
      <c r="A56" s="1550" t="str">
        <f>E16</f>
        <v>所在地</v>
      </c>
      <c r="B56" s="1573" t="str">
        <f>E18</f>
        <v>長良有明町地内</v>
      </c>
      <c r="C56" s="1573" t="str">
        <f>E19</f>
        <v>長良南陽町地内</v>
      </c>
      <c r="D56" s="1573" t="str">
        <f>E20</f>
        <v>長良東郷町地内</v>
      </c>
      <c r="E56" s="1573" t="str">
        <f>E21</f>
        <v>長良城西町地内</v>
      </c>
      <c r="F56" s="1574" t="str">
        <f>E22</f>
        <v>長良太平町３丁目７７</v>
      </c>
      <c r="G56" s="1574">
        <f>E23</f>
        <v>0</v>
      </c>
      <c r="H56" s="549"/>
      <c r="I56" s="549"/>
      <c r="J56" s="549"/>
      <c r="K56" s="549"/>
      <c r="L56" s="549"/>
      <c r="M56" s="549"/>
      <c r="N56" s="796"/>
      <c r="O56" s="796"/>
      <c r="P56" s="796"/>
      <c r="Q56" s="796"/>
      <c r="R56" s="796"/>
      <c r="S56" s="796"/>
      <c r="T56" s="55"/>
      <c r="AE56" s="1354"/>
      <c r="AF56" s="1355" t="str">
        <f>"×（経過日数－"&amp;AG61&amp;"日）／365日）"</f>
        <v>×（経過日数－90日）／365日）</v>
      </c>
      <c r="AG56" s="1355"/>
      <c r="AH56" s="1355" t="str">
        <f>"（１＋A）×（１＋B"&amp;AF56</f>
        <v>（１＋A）×（１＋B×（経過日数－90日）／365日）</v>
      </c>
      <c r="AI56" s="1355"/>
      <c r="AJ56" s="1355"/>
      <c r="AK56" s="1354"/>
      <c r="AL56" s="1354"/>
      <c r="AM56" s="1354"/>
    </row>
    <row r="57" spans="1:39" ht="24.75" customHeight="1">
      <c r="A57" s="1550" t="str">
        <f>F16</f>
        <v>地　　積</v>
      </c>
      <c r="B57" s="1574">
        <f>F18</f>
        <v>240</v>
      </c>
      <c r="C57" s="1574">
        <f>F19</f>
        <v>185</v>
      </c>
      <c r="D57" s="1574">
        <f>F20</f>
        <v>450</v>
      </c>
      <c r="E57" s="1574">
        <f>F21</f>
        <v>280</v>
      </c>
      <c r="F57" s="1575">
        <f>F22</f>
        <v>225</v>
      </c>
      <c r="G57" s="1575">
        <f>F23</f>
        <v>0</v>
      </c>
      <c r="H57" s="549"/>
      <c r="I57" s="549"/>
      <c r="J57" s="549"/>
      <c r="K57" s="796"/>
      <c r="L57" s="796"/>
      <c r="M57" s="796"/>
      <c r="N57" s="796"/>
      <c r="O57" s="796"/>
      <c r="P57" s="796"/>
      <c r="Q57" s="796"/>
      <c r="R57" s="796"/>
      <c r="S57" s="796"/>
      <c r="T57" s="55"/>
      <c r="AE57" s="1354"/>
      <c r="AF57" s="1355" t="str">
        <f>"×（経過日数－"&amp;AG62&amp;"日）／365日）"</f>
        <v>×（経過日数－455日）／365日）</v>
      </c>
      <c r="AG57" s="1355"/>
      <c r="AH57" s="1355" t="str">
        <f>"（1＋A）×（1＋B）×（1＋C"&amp;AF57</f>
        <v>（1＋A）×（1＋B）×（1＋C×（経過日数－455日）／365日）</v>
      </c>
      <c r="AI57" s="1355"/>
      <c r="AJ57" s="1355"/>
      <c r="AK57" s="1354"/>
      <c r="AL57" s="1354"/>
      <c r="AM57" s="1354"/>
    </row>
    <row r="58" spans="1:39" ht="24.75" customHeight="1">
      <c r="A58" s="1550" t="str">
        <f>G16</f>
        <v>取引時点</v>
      </c>
      <c r="B58" s="1576">
        <f>G18</f>
        <v>36118</v>
      </c>
      <c r="C58" s="1576">
        <f>G19</f>
        <v>35987</v>
      </c>
      <c r="D58" s="1576">
        <f>G20</f>
        <v>36215</v>
      </c>
      <c r="E58" s="1576">
        <f>G21</f>
        <v>36219</v>
      </c>
      <c r="F58" s="1576">
        <f>G22</f>
        <v>36160</v>
      </c>
      <c r="G58" s="1576">
        <f>G23</f>
        <v>0</v>
      </c>
      <c r="H58" s="549"/>
      <c r="I58" s="549"/>
      <c r="J58" s="549"/>
      <c r="K58" s="796"/>
      <c r="L58" s="796"/>
      <c r="M58" s="796"/>
      <c r="N58" s="796"/>
      <c r="O58" s="796"/>
      <c r="P58" s="796"/>
      <c r="Q58" s="796"/>
      <c r="R58" s="796"/>
      <c r="S58" s="796"/>
      <c r="T58" s="55"/>
      <c r="AE58" s="1354"/>
      <c r="AF58" s="1355" t="str">
        <f>"×（経過日数－"&amp;AG63&amp;"日）／365日）"</f>
        <v>×（経過日数－820日）／365日）</v>
      </c>
      <c r="AG58" s="1355"/>
      <c r="AH58" s="1355" t="str">
        <f>"（1＋A）×（1＋B）×（1＋C）×（1＋D"&amp;AF58</f>
        <v>（1＋A）×（1＋B）×（1＋C）×（1＋D×（経過日数－820日）／365日）</v>
      </c>
      <c r="AI58" s="1355"/>
      <c r="AJ58" s="1355"/>
      <c r="AK58" s="1354"/>
      <c r="AL58" s="1354"/>
      <c r="AM58" s="1354"/>
    </row>
    <row r="59" spans="1:39" ht="24.75" customHeight="1">
      <c r="A59" s="1550" t="str">
        <f>H16</f>
        <v>取引価格</v>
      </c>
      <c r="B59" s="1577">
        <f>H18</f>
        <v>113000</v>
      </c>
      <c r="C59" s="1577">
        <f>H19</f>
        <v>114000</v>
      </c>
      <c r="D59" s="1577">
        <f>H20</f>
        <v>125000</v>
      </c>
      <c r="E59" s="1577">
        <f>H21</f>
        <v>110000</v>
      </c>
      <c r="F59" s="1577">
        <f>H22</f>
        <v>120000</v>
      </c>
      <c r="G59" s="1577">
        <f>H23</f>
        <v>0</v>
      </c>
      <c r="H59" s="549"/>
      <c r="I59" s="549"/>
      <c r="J59" s="549"/>
      <c r="K59" s="796"/>
      <c r="L59" s="796"/>
      <c r="M59" s="796"/>
      <c r="N59" s="796"/>
      <c r="O59" s="796"/>
      <c r="P59" s="796"/>
      <c r="Q59" s="796"/>
      <c r="R59" s="796"/>
      <c r="S59" s="796"/>
      <c r="T59" s="55"/>
      <c r="AE59" s="1354"/>
      <c r="AF59" s="1354"/>
      <c r="AG59" s="1354"/>
      <c r="AH59" s="1354"/>
      <c r="AI59" s="1354"/>
      <c r="AJ59" s="1354"/>
      <c r="AK59" s="1354"/>
      <c r="AL59" s="1354"/>
      <c r="AM59" s="1354"/>
    </row>
    <row r="60" spans="1:20" ht="24.75" customHeight="1">
      <c r="A60" s="1578" t="s">
        <v>793</v>
      </c>
      <c r="B60" s="1579">
        <f aca="true" t="shared" si="16" ref="B60:G60">B91</f>
        <v>96.41</v>
      </c>
      <c r="C60" s="1579">
        <f t="shared" si="16"/>
        <v>92.91</v>
      </c>
      <c r="D60" s="1579">
        <f t="shared" si="16"/>
        <v>99.04</v>
      </c>
      <c r="E60" s="1579">
        <f t="shared" si="16"/>
        <v>99.15</v>
      </c>
      <c r="F60" s="1579">
        <f t="shared" si="16"/>
        <v>97.53</v>
      </c>
      <c r="G60" s="1579">
        <f t="shared" si="16"/>
        <v>-465.41</v>
      </c>
      <c r="H60" s="549"/>
      <c r="I60" s="549"/>
      <c r="J60" s="549"/>
      <c r="K60" s="796"/>
      <c r="L60" s="796"/>
      <c r="M60" s="796"/>
      <c r="N60" s="796"/>
      <c r="O60" s="796"/>
      <c r="P60" s="796"/>
      <c r="Q60" s="796"/>
      <c r="R60" s="796"/>
      <c r="S60" s="796"/>
      <c r="T60" s="55"/>
    </row>
    <row r="61" spans="1:33" ht="24.75" customHeight="1">
      <c r="A61" s="1550" t="s">
        <v>248</v>
      </c>
      <c r="B61" s="1580" t="str">
        <f>IF(J18=100,"事情無し","事情有り")</f>
        <v>事情無し</v>
      </c>
      <c r="C61" s="1580" t="str">
        <f>IF(J19=100,"事情無し","事情有り")</f>
        <v>事情無し</v>
      </c>
      <c r="D61" s="1580" t="str">
        <f>IF(J20=100,"事情無し","事情有り")</f>
        <v>事情有り</v>
      </c>
      <c r="E61" s="1580" t="str">
        <f>IF(J21=100,"事情無し","事情有り")</f>
        <v>事情無し</v>
      </c>
      <c r="F61" s="1581"/>
      <c r="G61" s="1581"/>
      <c r="H61" s="549"/>
      <c r="I61" s="549"/>
      <c r="J61" s="549"/>
      <c r="K61" s="796"/>
      <c r="L61" s="796"/>
      <c r="M61" s="796"/>
      <c r="N61" s="796"/>
      <c r="O61" s="796"/>
      <c r="P61" s="796"/>
      <c r="Q61" s="796"/>
      <c r="R61" s="796"/>
      <c r="S61" s="796"/>
      <c r="T61" s="55"/>
      <c r="AF61" s="1355" t="s">
        <v>249</v>
      </c>
      <c r="AG61" s="1257">
        <f>B86</f>
        <v>90</v>
      </c>
    </row>
    <row r="62" spans="1:33" ht="24.75" customHeight="1">
      <c r="A62" s="1582" t="s">
        <v>596</v>
      </c>
      <c r="B62" s="1580" t="str">
        <f>VLOOKUP(I18,【取引事情区分】,2)</f>
        <v>無し</v>
      </c>
      <c r="C62" s="1580" t="str">
        <f>VLOOKUP(I19,【取引事情区分】,2)</f>
        <v>無し</v>
      </c>
      <c r="D62" s="1580" t="str">
        <f>VLOOKUP(I20,【取引事情区分】,2)</f>
        <v>買進み事情</v>
      </c>
      <c r="E62" s="1580" t="str">
        <f>VLOOKUP(I21,【取引事情区分】,2)</f>
        <v>無し</v>
      </c>
      <c r="F62" s="1583"/>
      <c r="G62" s="1580"/>
      <c r="H62" s="549"/>
      <c r="I62" s="549"/>
      <c r="J62" s="549"/>
      <c r="K62" s="796"/>
      <c r="L62" s="796"/>
      <c r="M62" s="796"/>
      <c r="N62" s="796"/>
      <c r="O62" s="796"/>
      <c r="P62" s="796"/>
      <c r="Q62" s="796"/>
      <c r="R62" s="796"/>
      <c r="S62" s="796"/>
      <c r="T62" s="55"/>
      <c r="AF62" s="1355" t="s">
        <v>250</v>
      </c>
      <c r="AG62" s="1257">
        <f>AG61+365</f>
        <v>455</v>
      </c>
    </row>
    <row r="63" spans="1:33" ht="24.75" customHeight="1">
      <c r="A63" s="1582" t="s">
        <v>817</v>
      </c>
      <c r="B63" s="1584">
        <v>100</v>
      </c>
      <c r="C63" s="1584">
        <v>100</v>
      </c>
      <c r="D63" s="1584">
        <v>110</v>
      </c>
      <c r="E63" s="1584">
        <v>100</v>
      </c>
      <c r="F63" s="1585">
        <v>100</v>
      </c>
      <c r="G63" s="1585">
        <v>100</v>
      </c>
      <c r="H63" s="1502"/>
      <c r="I63" s="1502"/>
      <c r="J63" s="1502"/>
      <c r="K63" s="1503"/>
      <c r="L63" s="1503"/>
      <c r="M63" s="1503"/>
      <c r="N63" s="1503"/>
      <c r="O63" s="1503"/>
      <c r="P63" s="1503"/>
      <c r="Q63" s="1503"/>
      <c r="R63" s="1503"/>
      <c r="S63" s="1503"/>
      <c r="T63" s="55"/>
      <c r="AF63" s="1355" t="s">
        <v>251</v>
      </c>
      <c r="AG63" s="1257">
        <f>AG62+365</f>
        <v>820</v>
      </c>
    </row>
    <row r="64" spans="1:32" ht="24.75" customHeight="1">
      <c r="A64" s="1586" t="str">
        <f>L16</f>
        <v>類　　型</v>
      </c>
      <c r="B64" s="1434" t="str">
        <f>VLOOKUP(L18,類型区分,2)</f>
        <v>更地</v>
      </c>
      <c r="C64" s="1434" t="str">
        <f>IF(L19=0,0,VLOOKUP(L19,類型区分,2))</f>
        <v>更地</v>
      </c>
      <c r="D64" s="1434" t="str">
        <f>IF(L20=0,0,VLOOKUP(L20,類型区分,2))</f>
        <v>建付地</v>
      </c>
      <c r="E64" s="1434" t="str">
        <f>IF(L21=0,0,VLOOKUP(L21,類型区分,2))</f>
        <v>更地</v>
      </c>
      <c r="F64" s="1434" t="str">
        <f>IF(L22=0,0,VLOOKUP(L22,類型区分,2))</f>
        <v>更地</v>
      </c>
      <c r="G64" s="1434">
        <f>IF(L23=0,0,VLOOKUP(L23,類型区分,2))</f>
        <v>0</v>
      </c>
      <c r="H64" s="1922" t="s">
        <v>749</v>
      </c>
      <c r="I64" s="1923"/>
      <c r="J64" s="1587"/>
      <c r="K64" s="1588"/>
      <c r="L64" s="1588"/>
      <c r="M64" s="1588"/>
      <c r="N64" s="1588"/>
      <c r="O64" s="1588"/>
      <c r="P64" s="1588"/>
      <c r="Q64" s="1588"/>
      <c r="R64" s="1588"/>
      <c r="S64" s="1588"/>
      <c r="T64" s="55"/>
      <c r="AF64" s="1355" t="s">
        <v>124</v>
      </c>
    </row>
    <row r="65" spans="1:20" ht="24.75" customHeight="1">
      <c r="A65" s="1589" t="s">
        <v>818</v>
      </c>
      <c r="B65" s="1584">
        <v>100</v>
      </c>
      <c r="C65" s="1584">
        <v>100</v>
      </c>
      <c r="D65" s="1584">
        <v>97</v>
      </c>
      <c r="E65" s="1584">
        <v>100</v>
      </c>
      <c r="F65" s="1585">
        <v>100</v>
      </c>
      <c r="G65" s="1585">
        <v>100</v>
      </c>
      <c r="H65" s="1924"/>
      <c r="I65" s="1925"/>
      <c r="J65" s="1502"/>
      <c r="K65" s="1503"/>
      <c r="L65" s="1503"/>
      <c r="M65" s="1503"/>
      <c r="N65" s="1503"/>
      <c r="O65" s="1503"/>
      <c r="P65" s="1503"/>
      <c r="Q65" s="1503"/>
      <c r="R65" s="1503"/>
      <c r="S65" s="1503"/>
      <c r="T65" s="55"/>
    </row>
    <row r="66" spans="1:20" ht="24.75" customHeight="1">
      <c r="A66" s="1590" t="s">
        <v>258</v>
      </c>
      <c r="B66" s="1591">
        <v>100</v>
      </c>
      <c r="C66" s="1591">
        <v>100</v>
      </c>
      <c r="D66" s="1591">
        <v>100</v>
      </c>
      <c r="E66" s="1591">
        <v>100</v>
      </c>
      <c r="F66" s="1591">
        <v>100</v>
      </c>
      <c r="G66" s="1592">
        <v>100</v>
      </c>
      <c r="H66" s="1926"/>
      <c r="I66" s="1925"/>
      <c r="J66" s="1502"/>
      <c r="K66" s="1503"/>
      <c r="L66" s="1503"/>
      <c r="M66" s="1503"/>
      <c r="N66" s="1503"/>
      <c r="O66" s="1503"/>
      <c r="P66" s="1503"/>
      <c r="Q66" s="1503"/>
      <c r="R66" s="1503"/>
      <c r="S66" s="1503"/>
      <c r="T66" s="55"/>
    </row>
    <row r="67" spans="1:20" ht="24.75" customHeight="1">
      <c r="A67" s="1590" t="s">
        <v>501</v>
      </c>
      <c r="B67" s="1593">
        <f>R18*100</f>
        <v>97.1</v>
      </c>
      <c r="C67" s="1593">
        <f>R19*100</f>
        <v>98.7</v>
      </c>
      <c r="D67" s="1593">
        <f>R20*100</f>
        <v>102.4</v>
      </c>
      <c r="E67" s="1593">
        <f>R21*100</f>
        <v>99.8</v>
      </c>
      <c r="F67" s="1593">
        <f>R22*100</f>
        <v>100</v>
      </c>
      <c r="G67" s="1594">
        <f>R23*100</f>
        <v>0</v>
      </c>
      <c r="H67" s="1927"/>
      <c r="I67" s="1928"/>
      <c r="J67" s="1502"/>
      <c r="K67" s="1503"/>
      <c r="L67" s="1503"/>
      <c r="M67" s="1503"/>
      <c r="N67" s="1503"/>
      <c r="O67" s="1503"/>
      <c r="P67" s="1503"/>
      <c r="Q67" s="1503"/>
      <c r="R67" s="1503"/>
      <c r="S67" s="1503"/>
      <c r="T67" s="55"/>
    </row>
    <row r="68" spans="1:20" ht="24.75" customHeight="1">
      <c r="A68" s="1590" t="s">
        <v>502</v>
      </c>
      <c r="B68" s="1537">
        <f>ROUNDDOWN(B59*B60/B63/B65/B66/B67*100*100*100,0)</f>
        <v>112197</v>
      </c>
      <c r="C68" s="1537">
        <f>IF(C57=0,0,ROUNDDOWN(C59*C60/C63/C65/C66/C67*100*100*100,0))</f>
        <v>107312</v>
      </c>
      <c r="D68" s="1537">
        <f>IF(D57=0,0,ROUNDDOWN(D59*D60/D63/D65/D66/D67*100*100*100,0))</f>
        <v>113306</v>
      </c>
      <c r="E68" s="1537">
        <f>IF(E57=0,0,ROUNDDOWN(E59*E60/E63/E65/E66/E67*100*100*100,0))</f>
        <v>109283</v>
      </c>
      <c r="F68" s="1537">
        <f>IF(F57=0,0,ROUNDDOWN(F59*F60/F63/F65/F66/F67*100*100*100,0))</f>
        <v>117036</v>
      </c>
      <c r="G68" s="1537">
        <f>IF(G57=0,0,ROUNDDOWN(G59*G60/G63/G65/G66/G67*100*100*100,0))</f>
        <v>0</v>
      </c>
      <c r="H68" s="1502"/>
      <c r="I68" s="1502"/>
      <c r="J68" s="1502"/>
      <c r="K68" s="1503"/>
      <c r="L68" s="1503"/>
      <c r="M68" s="1503"/>
      <c r="N68" s="1503"/>
      <c r="O68" s="1503"/>
      <c r="P68" s="1503"/>
      <c r="Q68" s="1503"/>
      <c r="R68" s="1503"/>
      <c r="S68" s="1503"/>
      <c r="T68" s="55"/>
    </row>
    <row r="69" spans="1:20" ht="24.75" customHeight="1">
      <c r="A69" s="1590" t="s">
        <v>921</v>
      </c>
      <c r="B69" s="1593">
        <f>S18*100</f>
        <v>112.6</v>
      </c>
      <c r="C69" s="1593">
        <f>S19*100</f>
        <v>112.7</v>
      </c>
      <c r="D69" s="1593">
        <f>S20*100</f>
        <v>112.6</v>
      </c>
      <c r="E69" s="1593">
        <f>S21*100</f>
        <v>111.5</v>
      </c>
      <c r="F69" s="1593">
        <f>S22*100</f>
        <v>121</v>
      </c>
      <c r="G69" s="1593">
        <f>S23*100</f>
        <v>0</v>
      </c>
      <c r="H69" s="1502"/>
      <c r="I69" s="1502"/>
      <c r="J69" s="1502"/>
      <c r="K69" s="1503"/>
      <c r="L69" s="1503"/>
      <c r="M69" s="1503"/>
      <c r="N69" s="1595"/>
      <c r="O69" s="1595"/>
      <c r="P69" s="1595"/>
      <c r="Q69" s="1595"/>
      <c r="R69" s="1595"/>
      <c r="S69" s="1595"/>
      <c r="T69" s="55"/>
    </row>
    <row r="70" spans="1:20" ht="24.75" customHeight="1">
      <c r="A70" s="1590" t="s">
        <v>922</v>
      </c>
      <c r="B70" s="1596">
        <f>Q17*100</f>
        <v>102</v>
      </c>
      <c r="C70" s="1596">
        <f>Q17*100</f>
        <v>102</v>
      </c>
      <c r="D70" s="1596">
        <f>Q17*100</f>
        <v>102</v>
      </c>
      <c r="E70" s="1596">
        <f>Q17*100</f>
        <v>102</v>
      </c>
      <c r="F70" s="1596">
        <f>Q17*100</f>
        <v>102</v>
      </c>
      <c r="G70" s="1596">
        <f>Q17*100</f>
        <v>102</v>
      </c>
      <c r="H70" s="1502"/>
      <c r="I70" s="1502"/>
      <c r="J70" s="1502"/>
      <c r="K70" s="1503"/>
      <c r="L70" s="1503"/>
      <c r="M70" s="1503"/>
      <c r="N70" s="1595"/>
      <c r="O70" s="1595"/>
      <c r="P70" s="1595"/>
      <c r="Q70" s="1595"/>
      <c r="R70" s="1595"/>
      <c r="S70" s="1595"/>
      <c r="T70" s="55"/>
    </row>
    <row r="71" spans="1:20" ht="24.75" customHeight="1" thickBot="1">
      <c r="A71" s="1590" t="s">
        <v>681</v>
      </c>
      <c r="B71" s="1597">
        <f>ROUNDDOWN(B68/B69*B70,0)</f>
        <v>101634</v>
      </c>
      <c r="C71" s="1597">
        <f>IF(C68=0,0,ROUNDDOWN(C68/C69*C70,0))</f>
        <v>97123</v>
      </c>
      <c r="D71" s="1597">
        <f>IF(D68=0,0,ROUNDDOWN(D68/D69*D70,0))</f>
        <v>102639</v>
      </c>
      <c r="E71" s="1597">
        <f>IF(E68=0,0,ROUNDDOWN(E68/E69*E70,0))</f>
        <v>99971</v>
      </c>
      <c r="F71" s="1537">
        <f>IF(F57=0,0,ROUNDDOWN(F68/F69*F70,0))</f>
        <v>98658</v>
      </c>
      <c r="G71" s="1537">
        <f>IF(G57=0,0,ROUNDDOWN(G68/G69*G70,0))</f>
        <v>0</v>
      </c>
      <c r="H71" s="1502"/>
      <c r="I71" s="1502"/>
      <c r="J71" s="1598"/>
      <c r="K71" s="1598"/>
      <c r="L71" s="1503"/>
      <c r="M71" s="1503"/>
      <c r="N71" s="1595"/>
      <c r="O71" s="1595"/>
      <c r="P71" s="1595"/>
      <c r="Q71" s="1595"/>
      <c r="R71" s="1595"/>
      <c r="S71" s="1595"/>
      <c r="T71" s="55"/>
    </row>
    <row r="72" spans="1:20" ht="24.75" customHeight="1" thickBot="1">
      <c r="A72" s="1586" t="s">
        <v>222</v>
      </c>
      <c r="B72" s="1599">
        <v>0</v>
      </c>
      <c r="C72" s="1600">
        <v>0</v>
      </c>
      <c r="D72" s="1600">
        <v>0</v>
      </c>
      <c r="E72" s="1601">
        <v>0</v>
      </c>
      <c r="F72" s="1602"/>
      <c r="G72" s="1603" t="s">
        <v>997</v>
      </c>
      <c r="H72" s="1598"/>
      <c r="I72" s="1598"/>
      <c r="J72" s="1598"/>
      <c r="K72" s="1598"/>
      <c r="L72" s="1595"/>
      <c r="M72" s="1595"/>
      <c r="N72" s="1503"/>
      <c r="O72" s="1503"/>
      <c r="P72" s="1503"/>
      <c r="Q72" s="1503"/>
      <c r="R72" s="1503"/>
      <c r="S72" s="1503"/>
      <c r="T72" s="55"/>
    </row>
    <row r="73" spans="1:20" ht="24.75" customHeight="1">
      <c r="A73" s="1590" t="s">
        <v>522</v>
      </c>
      <c r="B73" s="1604">
        <f>ROUNDDOWN(SUM(B71:E71)/B24,0)</f>
        <v>100341</v>
      </c>
      <c r="C73" s="1605" t="s">
        <v>523</v>
      </c>
      <c r="D73" s="1604">
        <f>ROUNDDOWN(D101,0)</f>
        <v>0</v>
      </c>
      <c r="E73" s="1606"/>
      <c r="F73" s="1603"/>
      <c r="G73" s="1603" t="s">
        <v>997</v>
      </c>
      <c r="H73" s="1598"/>
      <c r="I73" s="1598"/>
      <c r="J73" s="1502"/>
      <c r="K73" s="1503"/>
      <c r="L73" s="1595"/>
      <c r="M73" s="1595"/>
      <c r="N73" s="1502"/>
      <c r="O73" s="1502"/>
      <c r="P73" s="1502"/>
      <c r="Q73" s="1502"/>
      <c r="R73" s="1502"/>
      <c r="S73" s="1502"/>
      <c r="T73" s="55"/>
    </row>
    <row r="74" spans="1:20" ht="24.75" customHeight="1">
      <c r="A74" s="1607"/>
      <c r="B74" s="1598"/>
      <c r="C74" s="1536"/>
      <c r="D74" s="1598"/>
      <c r="E74" s="1503"/>
      <c r="F74" s="1503"/>
      <c r="G74" s="1503"/>
      <c r="H74" s="1502"/>
      <c r="I74" s="1502"/>
      <c r="J74" s="1502"/>
      <c r="K74" s="1503"/>
      <c r="L74" s="1595"/>
      <c r="M74" s="1595"/>
      <c r="N74" s="1502"/>
      <c r="O74" s="1502"/>
      <c r="P74" s="1502"/>
      <c r="Q74" s="1502"/>
      <c r="R74" s="1502"/>
      <c r="S74" s="1502"/>
      <c r="T74" s="55"/>
    </row>
    <row r="75" spans="1:20" ht="19.5" customHeight="1">
      <c r="A75" s="1502"/>
      <c r="B75" s="1502"/>
      <c r="C75" s="1502"/>
      <c r="D75" s="1502"/>
      <c r="E75" s="1502"/>
      <c r="F75" s="1502"/>
      <c r="G75" s="1503" t="s">
        <v>669</v>
      </c>
      <c r="H75" s="1502"/>
      <c r="I75" s="1502"/>
      <c r="J75" s="1502"/>
      <c r="K75" s="1503"/>
      <c r="L75" s="1503"/>
      <c r="M75" s="1503"/>
      <c r="N75" s="1502"/>
      <c r="O75" s="1502"/>
      <c r="P75" s="1502"/>
      <c r="Q75" s="1502"/>
      <c r="R75" s="1502"/>
      <c r="S75" s="1502"/>
      <c r="T75" s="55"/>
    </row>
    <row r="76" spans="1:20" ht="19.5" customHeight="1">
      <c r="A76" s="1502"/>
      <c r="B76" s="1502"/>
      <c r="C76" s="1502"/>
      <c r="D76" s="1502"/>
      <c r="E76" s="1502"/>
      <c r="F76" s="1502"/>
      <c r="G76" s="1502"/>
      <c r="H76" s="1502"/>
      <c r="I76" s="1502"/>
      <c r="J76" s="1502"/>
      <c r="K76" s="1502"/>
      <c r="L76" s="1502"/>
      <c r="M76" s="1502"/>
      <c r="N76" s="1502"/>
      <c r="O76" s="1502"/>
      <c r="P76" s="1502"/>
      <c r="Q76" s="1502"/>
      <c r="R76" s="1502"/>
      <c r="S76" s="1502"/>
      <c r="T76" s="55"/>
    </row>
    <row r="77" spans="1:20" ht="19.5" customHeight="1">
      <c r="A77" s="1502"/>
      <c r="B77" s="1502"/>
      <c r="C77" s="1502"/>
      <c r="D77" s="1502"/>
      <c r="E77" s="1502"/>
      <c r="F77" s="1502"/>
      <c r="G77" s="1502"/>
      <c r="H77" s="1502"/>
      <c r="I77" s="1502"/>
      <c r="J77" s="1502"/>
      <c r="K77" s="1502"/>
      <c r="L77" s="1502"/>
      <c r="M77" s="1502"/>
      <c r="N77" s="1502"/>
      <c r="O77" s="1502"/>
      <c r="P77" s="1502"/>
      <c r="Q77" s="1502"/>
      <c r="R77" s="1502"/>
      <c r="S77" s="1502"/>
      <c r="T77" s="55"/>
    </row>
    <row r="78" spans="1:20" ht="19.5" customHeight="1">
      <c r="A78" s="1502"/>
      <c r="B78" s="1502"/>
      <c r="C78" s="1502"/>
      <c r="D78" s="1502"/>
      <c r="E78" s="1502"/>
      <c r="F78" s="1502"/>
      <c r="G78" s="1502"/>
      <c r="H78" s="1502"/>
      <c r="I78" s="1502"/>
      <c r="J78" s="1502"/>
      <c r="K78" s="1502"/>
      <c r="L78" s="1502"/>
      <c r="M78" s="1502"/>
      <c r="N78" s="1502"/>
      <c r="O78" s="1502"/>
      <c r="P78" s="1502"/>
      <c r="Q78" s="1502"/>
      <c r="R78" s="1502"/>
      <c r="S78" s="1502"/>
      <c r="T78" s="55"/>
    </row>
    <row r="79" spans="1:20" ht="19.5" customHeight="1">
      <c r="A79" s="1502"/>
      <c r="B79" s="1502"/>
      <c r="C79" s="1502"/>
      <c r="D79" s="1502"/>
      <c r="E79" s="1502"/>
      <c r="F79" s="1502"/>
      <c r="G79" s="1502"/>
      <c r="H79" s="1502"/>
      <c r="I79" s="1502"/>
      <c r="J79" s="1502"/>
      <c r="K79" s="1502"/>
      <c r="L79" s="1502"/>
      <c r="M79" s="1502"/>
      <c r="N79" s="1502"/>
      <c r="O79" s="1502"/>
      <c r="P79" s="1502"/>
      <c r="Q79" s="1502"/>
      <c r="R79" s="1502"/>
      <c r="S79" s="1502"/>
      <c r="T79" s="55"/>
    </row>
    <row r="80" spans="1:20" ht="19.5" customHeight="1">
      <c r="A80" s="1607"/>
      <c r="B80" s="1598"/>
      <c r="C80" s="1536"/>
      <c r="D80" s="1598"/>
      <c r="E80" s="1503"/>
      <c r="F80" s="1503"/>
      <c r="G80" s="1503"/>
      <c r="H80" s="1502"/>
      <c r="I80" s="1502"/>
      <c r="J80" s="1502"/>
      <c r="K80" s="1502"/>
      <c r="L80" s="1502"/>
      <c r="M80" s="1502"/>
      <c r="N80" s="1502"/>
      <c r="O80" s="1502"/>
      <c r="P80" s="1502"/>
      <c r="Q80" s="1502"/>
      <c r="R80" s="1502"/>
      <c r="S80" s="1502"/>
      <c r="T80" s="55"/>
    </row>
    <row r="81" spans="1:20" ht="19.5" customHeight="1">
      <c r="A81" s="1502"/>
      <c r="B81" s="1502"/>
      <c r="C81" s="1502"/>
      <c r="D81" s="1502"/>
      <c r="E81" s="1502"/>
      <c r="F81" s="1502"/>
      <c r="G81" s="1502"/>
      <c r="H81" s="1502"/>
      <c r="I81" s="1502"/>
      <c r="J81" s="1502"/>
      <c r="K81" s="1502"/>
      <c r="L81" s="1502"/>
      <c r="M81" s="1502"/>
      <c r="N81" s="1502"/>
      <c r="O81" s="1502"/>
      <c r="P81" s="1502"/>
      <c r="Q81" s="1502"/>
      <c r="R81" s="1502"/>
      <c r="S81" s="1502"/>
      <c r="T81" s="55"/>
    </row>
    <row r="82" spans="1:20" ht="19.5" customHeight="1">
      <c r="A82" s="1502"/>
      <c r="B82" s="1502"/>
      <c r="C82" s="1502"/>
      <c r="D82" s="1502"/>
      <c r="E82" s="1502"/>
      <c r="F82" s="1502"/>
      <c r="G82" s="1502"/>
      <c r="H82" s="1502"/>
      <c r="I82" s="1502"/>
      <c r="J82" s="1502"/>
      <c r="K82" s="1502"/>
      <c r="L82" s="1502"/>
      <c r="M82" s="1502"/>
      <c r="N82" s="1502"/>
      <c r="O82" s="1502"/>
      <c r="P82" s="1502"/>
      <c r="Q82" s="1502"/>
      <c r="R82" s="1502"/>
      <c r="S82" s="1502"/>
      <c r="T82" s="55"/>
    </row>
    <row r="83" spans="1:20" ht="19.5" customHeight="1">
      <c r="A83" s="1502" t="s">
        <v>410</v>
      </c>
      <c r="B83" s="1502"/>
      <c r="C83" s="1502"/>
      <c r="D83" s="1502"/>
      <c r="E83" s="1502"/>
      <c r="F83" s="1502"/>
      <c r="G83" s="1502"/>
      <c r="H83" s="1502"/>
      <c r="I83" s="1502"/>
      <c r="J83" s="1502"/>
      <c r="K83" s="1502"/>
      <c r="L83" s="1502"/>
      <c r="M83" s="1502"/>
      <c r="N83" s="1502"/>
      <c r="O83" s="1502"/>
      <c r="P83" s="1502"/>
      <c r="Q83" s="1502"/>
      <c r="R83" s="1502"/>
      <c r="S83" s="1502"/>
      <c r="T83" s="55"/>
    </row>
    <row r="84" spans="1:20" ht="19.5" customHeight="1">
      <c r="A84" s="1502" t="s">
        <v>425</v>
      </c>
      <c r="B84" s="1502" t="s">
        <v>669</v>
      </c>
      <c r="C84" s="1502" t="s">
        <v>997</v>
      </c>
      <c r="D84" s="1502" t="s">
        <v>997</v>
      </c>
      <c r="E84" s="1502" t="s">
        <v>997</v>
      </c>
      <c r="F84" s="1502" t="s">
        <v>997</v>
      </c>
      <c r="G84" s="1502"/>
      <c r="H84" s="1502"/>
      <c r="I84" s="1502"/>
      <c r="J84" s="1502"/>
      <c r="K84" s="1502"/>
      <c r="L84" s="1502"/>
      <c r="M84" s="1502"/>
      <c r="N84" s="1502"/>
      <c r="O84" s="1502"/>
      <c r="P84" s="1502"/>
      <c r="Q84" s="1502"/>
      <c r="R84" s="1502"/>
      <c r="S84" s="1502"/>
      <c r="T84" s="55"/>
    </row>
    <row r="85" spans="1:20" ht="19.5" customHeight="1">
      <c r="A85" s="1502" t="s">
        <v>344</v>
      </c>
      <c r="B85" s="1502">
        <f>C18</f>
        <v>1</v>
      </c>
      <c r="C85" s="1502">
        <f>C19</f>
        <v>2</v>
      </c>
      <c r="D85" s="1502">
        <f>C20</f>
        <v>3</v>
      </c>
      <c r="E85" s="1502">
        <f>C21</f>
        <v>4</v>
      </c>
      <c r="F85" s="1502" t="str">
        <f>C22</f>
        <v>岐阜ー99</v>
      </c>
      <c r="G85" s="1502">
        <f>C23</f>
        <v>0</v>
      </c>
      <c r="H85" s="1502"/>
      <c r="I85" s="1502"/>
      <c r="J85" s="1502"/>
      <c r="K85" s="1502"/>
      <c r="L85" s="1502"/>
      <c r="M85" s="1502"/>
      <c r="N85" s="1502"/>
      <c r="O85" s="1502"/>
      <c r="P85" s="1502"/>
      <c r="Q85" s="1502"/>
      <c r="R85" s="1502"/>
      <c r="S85" s="1502"/>
      <c r="T85" s="55"/>
    </row>
    <row r="86" spans="1:20" ht="19.5" customHeight="1">
      <c r="A86" s="1502" t="s">
        <v>249</v>
      </c>
      <c r="B86" s="1608">
        <f>IF(F13=B34,1,F13-B34)</f>
        <v>90</v>
      </c>
      <c r="C86" s="1608">
        <f>IF(F13=B34,1,F13-B34)</f>
        <v>90</v>
      </c>
      <c r="D86" s="1608">
        <f>IF(F13=B34,1,F13-B34)</f>
        <v>90</v>
      </c>
      <c r="E86" s="1608">
        <f>IF(F13=B34,1,F13-B34)</f>
        <v>90</v>
      </c>
      <c r="F86" s="1608">
        <f>IF(F13=B34,1,F13-B34)</f>
        <v>90</v>
      </c>
      <c r="G86" s="1608">
        <f>IF(F13=B34,1,F13-B34)</f>
        <v>90</v>
      </c>
      <c r="H86" s="1502"/>
      <c r="I86" s="1502"/>
      <c r="J86" s="1502"/>
      <c r="K86" s="1502"/>
      <c r="L86" s="1502"/>
      <c r="M86" s="1502"/>
      <c r="N86" s="1502"/>
      <c r="O86" s="1502"/>
      <c r="P86" s="1502"/>
      <c r="Q86" s="1502"/>
      <c r="R86" s="1502"/>
      <c r="S86" s="1502"/>
      <c r="T86" s="55"/>
    </row>
    <row r="87" spans="1:20" ht="19.5" customHeight="1">
      <c r="A87" s="1502" t="s">
        <v>318</v>
      </c>
      <c r="B87" s="1608">
        <f>F13-G18</f>
        <v>132</v>
      </c>
      <c r="C87" s="1608">
        <f>F13-G19</f>
        <v>263</v>
      </c>
      <c r="D87" s="1608">
        <f>F13-G20</f>
        <v>35</v>
      </c>
      <c r="E87" s="1608">
        <f>F13-G21</f>
        <v>31</v>
      </c>
      <c r="F87" s="1608">
        <f>F13-G22</f>
        <v>90</v>
      </c>
      <c r="G87" s="1608">
        <f>F13-G23</f>
        <v>36250</v>
      </c>
      <c r="H87" s="1502"/>
      <c r="I87" s="1502"/>
      <c r="J87" s="1502"/>
      <c r="K87" s="1502"/>
      <c r="L87" s="1502"/>
      <c r="M87" s="1502"/>
      <c r="N87" s="1502"/>
      <c r="O87" s="1502"/>
      <c r="P87" s="1502"/>
      <c r="Q87" s="1502"/>
      <c r="R87" s="1502"/>
      <c r="S87" s="1502"/>
      <c r="T87" s="55"/>
    </row>
    <row r="88" spans="1:20" ht="19.5" customHeight="1">
      <c r="A88" s="1502" t="s">
        <v>143</v>
      </c>
      <c r="B88" s="1502">
        <f aca="true" t="shared" si="17" ref="B88:G88">IF(B87&lt;=B86,1+B93/B86*B87,(1+B93)*(1+B94/365*(B87-B86)))</f>
        <v>0.9640773698630136</v>
      </c>
      <c r="C88" s="1502">
        <f t="shared" si="17"/>
        <v>0.9290734520547944</v>
      </c>
      <c r="D88" s="1502">
        <f t="shared" si="17"/>
        <v>0.9903944444444445</v>
      </c>
      <c r="E88" s="1502">
        <f t="shared" si="17"/>
        <v>0.9914922222222222</v>
      </c>
      <c r="F88" s="1502">
        <f t="shared" si="17"/>
        <v>0.9753000000000001</v>
      </c>
      <c r="G88" s="1502">
        <f t="shared" si="17"/>
        <v>-8.686850136986303</v>
      </c>
      <c r="H88" s="1502"/>
      <c r="I88" s="1502"/>
      <c r="J88" s="1502"/>
      <c r="K88" s="1502"/>
      <c r="L88" s="1502"/>
      <c r="M88" s="1502"/>
      <c r="N88" s="1502"/>
      <c r="O88" s="1502"/>
      <c r="P88" s="1502"/>
      <c r="Q88" s="1502"/>
      <c r="R88" s="1502"/>
      <c r="S88" s="1502"/>
      <c r="T88" s="55"/>
    </row>
    <row r="89" spans="1:20" ht="19.5" customHeight="1">
      <c r="A89" s="1502" t="s">
        <v>250</v>
      </c>
      <c r="B89" s="1502">
        <f aca="true" t="shared" si="18" ref="B89:G89">(1+B93)*(1+B94)*(1+B95/365*(B87-B86-365))</f>
        <v>0.9437951379452054</v>
      </c>
      <c r="C89" s="1502">
        <f t="shared" si="18"/>
        <v>0.9170171408219179</v>
      </c>
      <c r="D89" s="1502">
        <f t="shared" si="18"/>
        <v>0.9636231205479452</v>
      </c>
      <c r="E89" s="1502">
        <f t="shared" si="18"/>
        <v>0.9644407693150684</v>
      </c>
      <c r="F89" s="1502">
        <f t="shared" si="18"/>
        <v>0.9523804499999999</v>
      </c>
      <c r="G89" s="1502">
        <f t="shared" si="18"/>
        <v>-6.4391644047945205</v>
      </c>
      <c r="H89" s="1502"/>
      <c r="I89" s="1502"/>
      <c r="J89" s="1502"/>
      <c r="K89" s="1502"/>
      <c r="L89" s="1502"/>
      <c r="M89" s="1502"/>
      <c r="N89" s="1502"/>
      <c r="O89" s="1502"/>
      <c r="P89" s="1502"/>
      <c r="Q89" s="1502"/>
      <c r="R89" s="1502"/>
      <c r="S89" s="1502"/>
      <c r="T89" s="55"/>
    </row>
    <row r="90" spans="1:20" ht="19.5" customHeight="1">
      <c r="A90" s="1502" t="s">
        <v>251</v>
      </c>
      <c r="B90" s="1502">
        <f aca="true" t="shared" si="19" ref="B90:G90">(1+B93)*(1+B94)*(1+B95)*(1+B96/365*(B87-B86-730))</f>
        <v>0.9091326018575342</v>
      </c>
      <c r="C90" s="1502">
        <f t="shared" si="19"/>
        <v>0.8889545934369864</v>
      </c>
      <c r="D90" s="1502">
        <f t="shared" si="19"/>
        <v>0.9240735699246575</v>
      </c>
      <c r="E90" s="1502">
        <f t="shared" si="19"/>
        <v>0.9246896923191781</v>
      </c>
      <c r="F90" s="1502">
        <f t="shared" si="19"/>
        <v>0.915601887</v>
      </c>
      <c r="G90" s="1502">
        <f t="shared" si="19"/>
        <v>-4.654144559465753</v>
      </c>
      <c r="H90" s="1502"/>
      <c r="I90" s="1502"/>
      <c r="J90" s="1502"/>
      <c r="K90" s="1502"/>
      <c r="L90" s="1502"/>
      <c r="M90" s="1502"/>
      <c r="N90" s="1502"/>
      <c r="O90" s="1502"/>
      <c r="P90" s="1502"/>
      <c r="Q90" s="1502"/>
      <c r="R90" s="1502"/>
      <c r="S90" s="1502"/>
      <c r="T90" s="55"/>
    </row>
    <row r="91" spans="1:20" ht="19.5" customHeight="1">
      <c r="A91" s="1502" t="s">
        <v>345</v>
      </c>
      <c r="B91" s="1609">
        <f aca="true" t="shared" si="20" ref="B91:G91">ROUND(IF(B87&lt;=(B86+365),B88,IF(B87&lt;=(B86+730),B89,B90))*100,2)</f>
        <v>96.41</v>
      </c>
      <c r="C91" s="1609">
        <f t="shared" si="20"/>
        <v>92.91</v>
      </c>
      <c r="D91" s="1609">
        <f t="shared" si="20"/>
        <v>99.04</v>
      </c>
      <c r="E91" s="1609">
        <f t="shared" si="20"/>
        <v>99.15</v>
      </c>
      <c r="F91" s="1609">
        <f t="shared" si="20"/>
        <v>97.53</v>
      </c>
      <c r="G91" s="1609">
        <f t="shared" si="20"/>
        <v>-465.41</v>
      </c>
      <c r="H91" s="1502"/>
      <c r="I91" s="1502"/>
      <c r="J91" s="1502"/>
      <c r="K91" s="1502"/>
      <c r="L91" s="1502"/>
      <c r="M91" s="1502"/>
      <c r="N91" s="1502"/>
      <c r="O91" s="1502"/>
      <c r="P91" s="1502"/>
      <c r="Q91" s="1502"/>
      <c r="R91" s="1502"/>
      <c r="S91" s="1502"/>
      <c r="T91" s="55"/>
    </row>
    <row r="92" spans="1:20" ht="19.5" customHeight="1">
      <c r="A92" s="1610" t="s">
        <v>825</v>
      </c>
      <c r="B92" s="1610"/>
      <c r="C92" s="1502"/>
      <c r="D92" s="1502"/>
      <c r="E92" s="1502"/>
      <c r="F92" s="1502"/>
      <c r="G92" s="1502"/>
      <c r="H92" s="1502"/>
      <c r="I92" s="1502"/>
      <c r="J92" s="1502"/>
      <c r="K92" s="1502"/>
      <c r="L92" s="1502"/>
      <c r="M92" s="1502"/>
      <c r="N92" s="1502"/>
      <c r="O92" s="1502"/>
      <c r="P92" s="1502"/>
      <c r="Q92" s="1502"/>
      <c r="R92" s="1502"/>
      <c r="S92" s="1502"/>
      <c r="T92" s="55"/>
    </row>
    <row r="93" spans="1:20" ht="19.5" customHeight="1">
      <c r="A93" s="1502" t="str">
        <f>C34</f>
        <v>直前公示等基準日～価格時点</v>
      </c>
      <c r="B93" s="1611">
        <f>F34/100</f>
        <v>-0.024700000000000003</v>
      </c>
      <c r="C93" s="1611">
        <f>B93</f>
        <v>-0.024700000000000003</v>
      </c>
      <c r="D93" s="1611">
        <f>B93</f>
        <v>-0.024700000000000003</v>
      </c>
      <c r="E93" s="1611">
        <f>B93</f>
        <v>-0.024700000000000003</v>
      </c>
      <c r="F93" s="1611">
        <f>B93</f>
        <v>-0.024700000000000003</v>
      </c>
      <c r="G93" s="1611">
        <f>B93</f>
        <v>-0.024700000000000003</v>
      </c>
      <c r="H93" s="1502"/>
      <c r="I93" s="1502"/>
      <c r="J93" s="1502"/>
      <c r="K93" s="1502"/>
      <c r="L93" s="1502"/>
      <c r="M93" s="1502"/>
      <c r="N93" s="1502"/>
      <c r="O93" s="1502"/>
      <c r="P93" s="1502"/>
      <c r="Q93" s="1502"/>
      <c r="R93" s="1502"/>
      <c r="S93" s="1502"/>
      <c r="T93" s="55"/>
    </row>
    <row r="94" spans="1:20" ht="19.5" customHeight="1">
      <c r="A94" s="1502" t="str">
        <f>C35</f>
        <v>直前公示等基準日の前１年間</v>
      </c>
      <c r="B94" s="1611">
        <f>F35/100</f>
        <v>-0.1</v>
      </c>
      <c r="C94" s="1611">
        <f>B94</f>
        <v>-0.1</v>
      </c>
      <c r="D94" s="1611">
        <f>B94</f>
        <v>-0.1</v>
      </c>
      <c r="E94" s="1611">
        <f>B94</f>
        <v>-0.1</v>
      </c>
      <c r="F94" s="1611">
        <f>B94</f>
        <v>-0.1</v>
      </c>
      <c r="G94" s="1611">
        <f>B94</f>
        <v>-0.1</v>
      </c>
      <c r="H94" s="1502"/>
      <c r="I94" s="1502"/>
      <c r="J94" s="1502"/>
      <c r="K94" s="1502"/>
      <c r="L94" s="1502"/>
      <c r="M94" s="1502"/>
      <c r="N94" s="1502"/>
      <c r="O94" s="1502"/>
      <c r="P94" s="1502"/>
      <c r="Q94" s="1502"/>
      <c r="R94" s="1502"/>
      <c r="S94" s="1502"/>
      <c r="T94" s="55"/>
    </row>
    <row r="95" spans="1:20" ht="19.5" customHeight="1">
      <c r="A95" s="1502" t="str">
        <f>C36</f>
        <v>同、前々１年間</v>
      </c>
      <c r="B95" s="1611">
        <f>F36/100</f>
        <v>-0.085</v>
      </c>
      <c r="C95" s="1611">
        <f>B95</f>
        <v>-0.085</v>
      </c>
      <c r="D95" s="1611">
        <f>B95</f>
        <v>-0.085</v>
      </c>
      <c r="E95" s="1611">
        <f>B95</f>
        <v>-0.085</v>
      </c>
      <c r="F95" s="1611">
        <f>B95</f>
        <v>-0.085</v>
      </c>
      <c r="G95" s="1611">
        <f>B95</f>
        <v>-0.085</v>
      </c>
      <c r="H95" s="1502"/>
      <c r="I95" s="1502"/>
      <c r="J95" s="1502"/>
      <c r="K95" s="1502"/>
      <c r="L95" s="1502"/>
      <c r="M95" s="1502"/>
      <c r="N95" s="1502"/>
      <c r="O95" s="1502"/>
      <c r="P95" s="1502"/>
      <c r="Q95" s="1502"/>
      <c r="R95" s="1502"/>
      <c r="S95" s="1502"/>
      <c r="T95" s="55"/>
    </row>
    <row r="96" spans="1:20" ht="19.5" customHeight="1">
      <c r="A96" s="1502" t="str">
        <f>C37</f>
        <v>同、前々々１年間</v>
      </c>
      <c r="B96" s="1611">
        <f>F37/100</f>
        <v>-0.07</v>
      </c>
      <c r="C96" s="1611">
        <f>B96</f>
        <v>-0.07</v>
      </c>
      <c r="D96" s="1611">
        <f>B96</f>
        <v>-0.07</v>
      </c>
      <c r="E96" s="1611">
        <f>B96</f>
        <v>-0.07</v>
      </c>
      <c r="F96" s="1611">
        <f>B96</f>
        <v>-0.07</v>
      </c>
      <c r="G96" s="1611">
        <f>B96</f>
        <v>-0.07</v>
      </c>
      <c r="H96" s="1502"/>
      <c r="I96" s="1502"/>
      <c r="J96" s="1502"/>
      <c r="K96" s="1502"/>
      <c r="L96" s="1502"/>
      <c r="M96" s="1502"/>
      <c r="N96" s="1502"/>
      <c r="O96" s="1502"/>
      <c r="P96" s="1502"/>
      <c r="Q96" s="1502"/>
      <c r="R96" s="1502"/>
      <c r="S96" s="1502"/>
      <c r="T96" s="55"/>
    </row>
    <row r="97" spans="1:20" ht="19.5" customHeight="1">
      <c r="A97" s="1502"/>
      <c r="B97" s="1502"/>
      <c r="C97" s="1502"/>
      <c r="D97" s="1502"/>
      <c r="E97" s="1502"/>
      <c r="F97" s="1502"/>
      <c r="G97" s="1502"/>
      <c r="H97" s="1502"/>
      <c r="I97" s="1502"/>
      <c r="J97" s="1502"/>
      <c r="K97" s="1502"/>
      <c r="L97" s="1502"/>
      <c r="M97" s="1502"/>
      <c r="N97" s="1502"/>
      <c r="O97" s="1502"/>
      <c r="P97" s="1502"/>
      <c r="Q97" s="1502"/>
      <c r="R97" s="1502"/>
      <c r="S97" s="1502"/>
      <c r="T97" s="55"/>
    </row>
    <row r="98" spans="1:20" ht="19.5" customHeight="1">
      <c r="A98" s="1502" t="s">
        <v>1045</v>
      </c>
      <c r="B98" s="1502"/>
      <c r="C98" s="1502"/>
      <c r="D98" s="1502"/>
      <c r="E98" s="1502"/>
      <c r="F98" s="1502"/>
      <c r="G98" s="1502" t="s">
        <v>144</v>
      </c>
      <c r="H98" s="1502"/>
      <c r="I98" s="1502"/>
      <c r="J98" s="1502"/>
      <c r="K98" s="1502"/>
      <c r="L98" s="1502"/>
      <c r="M98" s="1502"/>
      <c r="N98" s="1502"/>
      <c r="O98" s="1502"/>
      <c r="P98" s="1502"/>
      <c r="Q98" s="1502"/>
      <c r="R98" s="1502"/>
      <c r="S98" s="1502"/>
      <c r="T98" s="55"/>
    </row>
    <row r="99" spans="1:20" ht="19.5" customHeight="1">
      <c r="A99" s="1502"/>
      <c r="B99" s="1603">
        <f>B72</f>
        <v>0</v>
      </c>
      <c r="C99" s="1603">
        <f>C72</f>
        <v>0</v>
      </c>
      <c r="D99" s="1603">
        <f>D72</f>
        <v>0</v>
      </c>
      <c r="E99" s="1603">
        <f>E72</f>
        <v>0</v>
      </c>
      <c r="F99" s="1502"/>
      <c r="G99" s="1612">
        <v>1</v>
      </c>
      <c r="H99" s="1612" t="s">
        <v>145</v>
      </c>
      <c r="I99" s="1502"/>
      <c r="J99" s="1502"/>
      <c r="K99" s="1502"/>
      <c r="L99" s="1502"/>
      <c r="M99" s="1502"/>
      <c r="N99" s="1502"/>
      <c r="O99" s="1502"/>
      <c r="P99" s="1502"/>
      <c r="Q99" s="1502"/>
      <c r="R99" s="1502"/>
      <c r="S99" s="1502"/>
      <c r="T99" s="55"/>
    </row>
    <row r="100" spans="1:20" ht="19.5" customHeight="1">
      <c r="A100" s="1502"/>
      <c r="B100" s="1603" t="str">
        <f>IF(B72=0,"  ",B71)</f>
        <v>  </v>
      </c>
      <c r="C100" s="1603" t="str">
        <f>IF(C72=0,"  ",C71)</f>
        <v>  </v>
      </c>
      <c r="D100" s="1603" t="str">
        <f>IF(D72=0,"  ",D71)</f>
        <v>  </v>
      </c>
      <c r="E100" s="1603" t="str">
        <f>IF(E72=0,"  ",E71)</f>
        <v>  </v>
      </c>
      <c r="F100" s="1502"/>
      <c r="G100" s="1612">
        <v>2</v>
      </c>
      <c r="H100" s="1612" t="s">
        <v>146</v>
      </c>
      <c r="I100" s="1502"/>
      <c r="J100" s="1502"/>
      <c r="K100" s="1502"/>
      <c r="L100" s="1502"/>
      <c r="M100" s="1502"/>
      <c r="N100" s="1502"/>
      <c r="O100" s="1502"/>
      <c r="P100" s="1502"/>
      <c r="Q100" s="1502"/>
      <c r="R100" s="1502"/>
      <c r="S100" s="1502"/>
      <c r="T100" s="55"/>
    </row>
    <row r="101" spans="1:20" ht="19.5" customHeight="1">
      <c r="A101" s="1502"/>
      <c r="B101" s="1603">
        <f>SUM(B99:E99)</f>
        <v>0</v>
      </c>
      <c r="C101" s="1603">
        <f>SUM(B100:E100)</f>
        <v>0</v>
      </c>
      <c r="D101" s="1603">
        <f>IF(C101=0,0,SUM(B100:E100)/B101)</f>
        <v>0</v>
      </c>
      <c r="E101" s="1603"/>
      <c r="F101" s="1502"/>
      <c r="G101" s="1612">
        <v>3</v>
      </c>
      <c r="H101" s="1612" t="s">
        <v>199</v>
      </c>
      <c r="I101" s="1502"/>
      <c r="J101" s="1502"/>
      <c r="K101" s="1502"/>
      <c r="L101" s="1502"/>
      <c r="M101" s="1502"/>
      <c r="N101" s="1502"/>
      <c r="O101" s="1502"/>
      <c r="P101" s="1502"/>
      <c r="Q101" s="1502"/>
      <c r="R101" s="1502"/>
      <c r="S101" s="1502"/>
      <c r="T101" s="55"/>
    </row>
    <row r="102" spans="1:20" ht="19.5" customHeight="1">
      <c r="A102" s="1502"/>
      <c r="B102" s="1603"/>
      <c r="C102" s="1603"/>
      <c r="D102" s="1603"/>
      <c r="E102" s="1603"/>
      <c r="F102" s="1502"/>
      <c r="G102" s="1502"/>
      <c r="H102" s="1502"/>
      <c r="I102" s="1502"/>
      <c r="J102" s="1502"/>
      <c r="K102" s="1502"/>
      <c r="L102" s="1502"/>
      <c r="M102" s="1502"/>
      <c r="N102" s="1502"/>
      <c r="O102" s="1502"/>
      <c r="P102" s="1502"/>
      <c r="Q102" s="1502"/>
      <c r="R102" s="1502"/>
      <c r="S102" s="1502"/>
      <c r="T102" s="55"/>
    </row>
    <row r="103" spans="1:20" ht="16.5" customHeight="1">
      <c r="A103" s="1502"/>
      <c r="B103" s="1502"/>
      <c r="C103" s="1502"/>
      <c r="D103" s="1502"/>
      <c r="E103" s="1502"/>
      <c r="F103" s="1502"/>
      <c r="G103" s="1502"/>
      <c r="H103" s="1502"/>
      <c r="I103" s="1502"/>
      <c r="J103" s="1502"/>
      <c r="K103" s="1502"/>
      <c r="L103" s="1502"/>
      <c r="M103" s="1502"/>
      <c r="N103" s="1613"/>
      <c r="O103" s="1613"/>
      <c r="P103" s="1613"/>
      <c r="Q103" s="1613"/>
      <c r="R103" s="1613"/>
      <c r="S103" s="1613"/>
      <c r="T103" s="55"/>
    </row>
    <row r="104" spans="1:20" ht="16.5" customHeight="1">
      <c r="A104" s="1502"/>
      <c r="B104" s="1502"/>
      <c r="C104" s="1502"/>
      <c r="D104" s="1502"/>
      <c r="E104" s="1502"/>
      <c r="F104" s="1502"/>
      <c r="G104" s="1503"/>
      <c r="H104" s="1502"/>
      <c r="I104" s="1502"/>
      <c r="J104" s="1502"/>
      <c r="K104" s="1502"/>
      <c r="L104" s="1502"/>
      <c r="M104" s="1502"/>
      <c r="N104" s="1613"/>
      <c r="O104" s="1613"/>
      <c r="P104" s="1613"/>
      <c r="Q104" s="1613"/>
      <c r="R104" s="1613"/>
      <c r="S104" s="1613"/>
      <c r="T104" s="55"/>
    </row>
    <row r="105" spans="1:20" ht="16.5" customHeight="1">
      <c r="A105" s="1502"/>
      <c r="B105" s="1502"/>
      <c r="C105" s="1502"/>
      <c r="D105" s="1502"/>
      <c r="E105" s="1502"/>
      <c r="F105" s="1502"/>
      <c r="G105" s="1503"/>
      <c r="H105" s="1502"/>
      <c r="I105" s="1502"/>
      <c r="J105" s="1502"/>
      <c r="K105" s="1502"/>
      <c r="L105" s="1502"/>
      <c r="M105" s="1502"/>
      <c r="N105" s="1613"/>
      <c r="O105" s="1613"/>
      <c r="P105" s="1613"/>
      <c r="Q105" s="1613"/>
      <c r="R105" s="1613"/>
      <c r="S105" s="1613"/>
      <c r="T105" s="55"/>
    </row>
    <row r="106" spans="1:20" ht="16.5" customHeight="1">
      <c r="A106" s="1613"/>
      <c r="B106" s="1613"/>
      <c r="C106" s="1613"/>
      <c r="D106" s="1613"/>
      <c r="E106" s="1613"/>
      <c r="F106" s="1613"/>
      <c r="G106" s="1613"/>
      <c r="H106" s="1613"/>
      <c r="I106" s="1613"/>
      <c r="J106" s="1613"/>
      <c r="K106" s="1613"/>
      <c r="L106" s="1613"/>
      <c r="M106" s="1613"/>
      <c r="N106" s="1613"/>
      <c r="O106" s="1613"/>
      <c r="P106" s="1613"/>
      <c r="Q106" s="1613"/>
      <c r="R106" s="1613"/>
      <c r="S106" s="1613"/>
      <c r="T106" s="55"/>
    </row>
    <row r="107" spans="1:20" ht="16.5" customHeight="1">
      <c r="A107" s="1613"/>
      <c r="B107" s="1613"/>
      <c r="C107" s="1613"/>
      <c r="D107" s="1613"/>
      <c r="E107" s="1613"/>
      <c r="F107" s="1613"/>
      <c r="G107" s="1613"/>
      <c r="H107" s="1613"/>
      <c r="I107" s="1613"/>
      <c r="J107" s="1613"/>
      <c r="K107" s="1613"/>
      <c r="L107" s="1613"/>
      <c r="M107" s="1613"/>
      <c r="N107" s="1613"/>
      <c r="O107" s="1613"/>
      <c r="P107" s="1613"/>
      <c r="Q107" s="1613"/>
      <c r="R107" s="1613"/>
      <c r="S107" s="1613"/>
      <c r="T107" s="55"/>
    </row>
    <row r="108" spans="1:20" ht="16.5" customHeight="1">
      <c r="A108" s="1613"/>
      <c r="B108" s="1613"/>
      <c r="C108" s="1613"/>
      <c r="D108" s="1613"/>
      <c r="E108" s="1613"/>
      <c r="F108" s="1613"/>
      <c r="G108" s="1613"/>
      <c r="H108" s="1613"/>
      <c r="I108" s="1613"/>
      <c r="J108" s="1613"/>
      <c r="K108" s="1613"/>
      <c r="L108" s="1613"/>
      <c r="M108" s="1613"/>
      <c r="N108" s="1613"/>
      <c r="O108" s="1613"/>
      <c r="P108" s="1613"/>
      <c r="Q108" s="1613"/>
      <c r="R108" s="1613"/>
      <c r="S108" s="1613"/>
      <c r="T108" s="55"/>
    </row>
    <row r="109" spans="1:20" ht="16.5" customHeight="1">
      <c r="A109" s="1613"/>
      <c r="B109" s="1613"/>
      <c r="C109" s="1613"/>
      <c r="D109" s="1613"/>
      <c r="E109" s="1613"/>
      <c r="F109" s="1613"/>
      <c r="G109" s="1613"/>
      <c r="H109" s="1613"/>
      <c r="I109" s="1613"/>
      <c r="J109" s="1613"/>
      <c r="K109" s="1613"/>
      <c r="L109" s="1613"/>
      <c r="M109" s="1613"/>
      <c r="N109" s="1613"/>
      <c r="O109" s="1613"/>
      <c r="P109" s="1613"/>
      <c r="Q109" s="1613"/>
      <c r="R109" s="1613"/>
      <c r="S109" s="1613"/>
      <c r="T109" s="55"/>
    </row>
    <row r="110" spans="1:20" ht="16.5" customHeight="1">
      <c r="A110" s="1613"/>
      <c r="B110" s="1613"/>
      <c r="C110" s="1613"/>
      <c r="D110" s="1613"/>
      <c r="E110" s="1613"/>
      <c r="F110" s="1613"/>
      <c r="G110" s="1613"/>
      <c r="H110" s="1613"/>
      <c r="I110" s="1613"/>
      <c r="J110" s="1613"/>
      <c r="K110" s="1613"/>
      <c r="L110" s="1613"/>
      <c r="M110" s="1613"/>
      <c r="N110" s="1613"/>
      <c r="O110" s="1613"/>
      <c r="P110" s="1613"/>
      <c r="Q110" s="1613"/>
      <c r="R110" s="1613"/>
      <c r="S110" s="1613"/>
      <c r="T110" s="55"/>
    </row>
    <row r="111" spans="1:20" ht="16.5" customHeight="1">
      <c r="A111" s="1613"/>
      <c r="B111" s="1613"/>
      <c r="C111" s="1613"/>
      <c r="D111" s="1613"/>
      <c r="E111" s="1613"/>
      <c r="F111" s="1613"/>
      <c r="G111" s="1613"/>
      <c r="H111" s="1613"/>
      <c r="I111" s="1613"/>
      <c r="J111" s="1613"/>
      <c r="K111" s="1613"/>
      <c r="L111" s="1613"/>
      <c r="M111" s="1613"/>
      <c r="N111" s="1613"/>
      <c r="O111" s="1613"/>
      <c r="P111" s="1613"/>
      <c r="Q111" s="1613"/>
      <c r="R111" s="1613"/>
      <c r="S111" s="1613"/>
      <c r="T111" s="55"/>
    </row>
    <row r="112" spans="1:20" ht="16.5" customHeight="1">
      <c r="A112" s="1613"/>
      <c r="B112" s="1613"/>
      <c r="C112" s="1613"/>
      <c r="D112" s="1613"/>
      <c r="E112" s="1613"/>
      <c r="F112" s="1613"/>
      <c r="G112" s="1613"/>
      <c r="H112" s="1613"/>
      <c r="I112" s="1613"/>
      <c r="J112" s="1613"/>
      <c r="K112" s="1613"/>
      <c r="L112" s="1613"/>
      <c r="M112" s="1613"/>
      <c r="N112" s="1613"/>
      <c r="O112" s="1613"/>
      <c r="P112" s="1613"/>
      <c r="Q112" s="1613"/>
      <c r="R112" s="1613"/>
      <c r="S112" s="1613"/>
      <c r="T112" s="55"/>
    </row>
    <row r="113" spans="1:20" ht="19.5" customHeight="1">
      <c r="A113" s="1613"/>
      <c r="B113" s="1613"/>
      <c r="C113" s="1613"/>
      <c r="D113" s="1613"/>
      <c r="E113" s="1613"/>
      <c r="F113" s="1613"/>
      <c r="G113" s="1613"/>
      <c r="H113" s="1613"/>
      <c r="I113" s="1613"/>
      <c r="J113" s="1613"/>
      <c r="K113" s="1613"/>
      <c r="L113" s="1613"/>
      <c r="M113" s="1613"/>
      <c r="N113" s="1613"/>
      <c r="O113" s="1613"/>
      <c r="P113" s="1613"/>
      <c r="Q113" s="1613"/>
      <c r="R113" s="1613"/>
      <c r="S113" s="1613"/>
      <c r="T113" s="55"/>
    </row>
    <row r="114" spans="1:20" ht="16.5" customHeight="1">
      <c r="A114" s="1613"/>
      <c r="B114" s="1613"/>
      <c r="C114" s="1613"/>
      <c r="D114" s="1613"/>
      <c r="E114" s="1613"/>
      <c r="F114" s="1613"/>
      <c r="G114" s="1613"/>
      <c r="H114" s="1613"/>
      <c r="I114" s="1613"/>
      <c r="J114" s="1613"/>
      <c r="K114" s="1613"/>
      <c r="L114" s="1613"/>
      <c r="M114" s="1613"/>
      <c r="N114" s="1613"/>
      <c r="O114" s="1613"/>
      <c r="P114" s="1613"/>
      <c r="Q114" s="1613"/>
      <c r="R114" s="1613"/>
      <c r="S114" s="1613"/>
      <c r="T114" s="55"/>
    </row>
    <row r="115" spans="1:20" ht="16.5" customHeight="1">
      <c r="A115" s="1613"/>
      <c r="B115" s="1613"/>
      <c r="C115" s="1613"/>
      <c r="D115" s="1613"/>
      <c r="E115" s="1613"/>
      <c r="F115" s="1613"/>
      <c r="G115" s="1613"/>
      <c r="H115" s="1613"/>
      <c r="I115" s="1613"/>
      <c r="J115" s="1613"/>
      <c r="K115" s="1613"/>
      <c r="L115" s="1613"/>
      <c r="M115" s="1613"/>
      <c r="N115" s="1613"/>
      <c r="O115" s="1613"/>
      <c r="P115" s="1613"/>
      <c r="Q115" s="1613"/>
      <c r="R115" s="1613"/>
      <c r="S115" s="1613"/>
      <c r="T115" s="55"/>
    </row>
    <row r="116" spans="1:20" ht="16.5" customHeight="1">
      <c r="A116" s="1613"/>
      <c r="B116" s="1613"/>
      <c r="C116" s="1613"/>
      <c r="D116" s="1613"/>
      <c r="E116" s="1613"/>
      <c r="F116" s="1613"/>
      <c r="G116" s="1613"/>
      <c r="H116" s="1613"/>
      <c r="I116" s="1613"/>
      <c r="J116" s="1613"/>
      <c r="K116" s="1613"/>
      <c r="L116" s="1613"/>
      <c r="M116" s="1613"/>
      <c r="N116" s="1613"/>
      <c r="O116" s="1613"/>
      <c r="P116" s="1613"/>
      <c r="Q116" s="1613"/>
      <c r="R116" s="1613"/>
      <c r="S116" s="1613"/>
      <c r="T116" s="55"/>
    </row>
    <row r="117" spans="1:20" ht="16.5" customHeight="1">
      <c r="A117" s="1613"/>
      <c r="B117" s="1613"/>
      <c r="C117" s="1613"/>
      <c r="D117" s="1613"/>
      <c r="E117" s="1613"/>
      <c r="F117" s="1613"/>
      <c r="G117" s="1613"/>
      <c r="H117" s="1613"/>
      <c r="I117" s="1613"/>
      <c r="J117" s="1613"/>
      <c r="K117" s="1613"/>
      <c r="L117" s="1613"/>
      <c r="M117" s="1613"/>
      <c r="N117" s="1613"/>
      <c r="O117" s="1613"/>
      <c r="P117" s="1613"/>
      <c r="Q117" s="1613"/>
      <c r="R117" s="1613"/>
      <c r="S117" s="1613"/>
      <c r="T117" s="55"/>
    </row>
    <row r="118" ht="16.5" customHeight="1">
      <c r="T118" s="55"/>
    </row>
    <row r="119" spans="20:29" ht="16.5" customHeight="1">
      <c r="T119" s="55"/>
      <c r="X119" s="1257">
        <f>ROUND(F34/365,4)</f>
        <v>-0.0068</v>
      </c>
      <c r="AA119" s="1257">
        <f>ROUND(F35/365,4)</f>
        <v>-0.0274</v>
      </c>
      <c r="AC119" s="1257">
        <f>ROUND(F36/365,4)</f>
        <v>-0.0233</v>
      </c>
    </row>
    <row r="120" ht="16.5" customHeight="1">
      <c r="T120" s="55"/>
    </row>
    <row r="121" ht="16.5" customHeight="1">
      <c r="T121" s="55"/>
    </row>
    <row r="122" ht="16.5" customHeight="1">
      <c r="T122" s="55"/>
    </row>
    <row r="123" spans="14:20" ht="16.5" customHeight="1">
      <c r="N123" s="16"/>
      <c r="O123" s="16"/>
      <c r="P123" s="16"/>
      <c r="Q123" s="16"/>
      <c r="R123" s="16"/>
      <c r="S123" s="16"/>
      <c r="T123" s="55"/>
    </row>
    <row r="124" spans="14:20" ht="16.5" customHeight="1">
      <c r="N124" s="16"/>
      <c r="O124" s="16"/>
      <c r="P124" s="16"/>
      <c r="Q124" s="16"/>
      <c r="R124" s="16"/>
      <c r="S124" s="16"/>
      <c r="T124" s="55"/>
    </row>
    <row r="125" ht="16.5" customHeight="1">
      <c r="T125" s="55"/>
    </row>
    <row r="126" spans="10:20" ht="16.5" customHeight="1">
      <c r="J126" s="16"/>
      <c r="K126" s="16"/>
      <c r="L126" s="16"/>
      <c r="M126" s="16"/>
      <c r="T126" s="55"/>
    </row>
    <row r="127" spans="8:20" ht="16.5" customHeight="1">
      <c r="H127" s="16"/>
      <c r="I127" s="16"/>
      <c r="J127" s="16"/>
      <c r="K127" s="16"/>
      <c r="L127" s="16"/>
      <c r="M127" s="16"/>
      <c r="T127" s="55"/>
    </row>
    <row r="128" spans="8:20" ht="16.5" customHeight="1">
      <c r="H128" s="16"/>
      <c r="I128" s="16"/>
      <c r="T128" s="55"/>
    </row>
    <row r="129" spans="1:20" ht="16.5" customHeight="1">
      <c r="A129" s="16"/>
      <c r="B129" s="16"/>
      <c r="C129" s="16"/>
      <c r="D129" s="16"/>
      <c r="E129" s="16"/>
      <c r="F129" s="16"/>
      <c r="G129" s="16"/>
      <c r="T129" s="55"/>
    </row>
    <row r="130" spans="1:20" ht="16.5" customHeight="1">
      <c r="A130" s="16"/>
      <c r="B130" s="16"/>
      <c r="C130" s="16"/>
      <c r="D130" s="16"/>
      <c r="E130" s="16"/>
      <c r="F130" s="16"/>
      <c r="G130" s="16"/>
      <c r="T130" s="55"/>
    </row>
    <row r="131" ht="16.5" customHeight="1">
      <c r="T131" s="55"/>
    </row>
    <row r="132" ht="16.5" customHeight="1">
      <c r="T132" s="55"/>
    </row>
    <row r="133" ht="16.5" customHeight="1">
      <c r="T133" s="55"/>
    </row>
    <row r="134" ht="16.5" customHeight="1">
      <c r="T134" s="55"/>
    </row>
    <row r="135" ht="16.5" customHeight="1">
      <c r="T135" s="55"/>
    </row>
    <row r="136" ht="16.5" customHeight="1">
      <c r="T136" s="55"/>
    </row>
    <row r="137" ht="16.5" customHeight="1">
      <c r="T137" s="55"/>
    </row>
    <row r="138" ht="16.5" customHeight="1">
      <c r="T138" s="55"/>
    </row>
    <row r="139" ht="16.5" customHeight="1">
      <c r="T139" s="55"/>
    </row>
    <row r="140" ht="16.5" customHeight="1">
      <c r="T140" s="55"/>
    </row>
    <row r="141" ht="16.5" customHeight="1">
      <c r="T141" s="55"/>
    </row>
    <row r="142" ht="16.5" customHeight="1">
      <c r="T142" s="55"/>
    </row>
    <row r="143" ht="16.5" customHeight="1">
      <c r="T143" s="55"/>
    </row>
    <row r="144" ht="16.5" customHeight="1">
      <c r="T144" s="55"/>
    </row>
    <row r="145" ht="16.5" customHeight="1">
      <c r="T145" s="55"/>
    </row>
    <row r="146" ht="16.5" customHeight="1">
      <c r="T146" s="55"/>
    </row>
    <row r="147" ht="16.5" customHeight="1">
      <c r="T147" s="55"/>
    </row>
    <row r="148" ht="16.5" customHeight="1">
      <c r="T148" s="55"/>
    </row>
    <row r="149" ht="16.5" customHeight="1">
      <c r="T149" s="55"/>
    </row>
    <row r="150" ht="16.5" customHeight="1">
      <c r="T150" s="55"/>
    </row>
    <row r="151" ht="16.5" customHeight="1">
      <c r="T151" s="55"/>
    </row>
    <row r="152" ht="16.5" customHeight="1">
      <c r="T152" s="55"/>
    </row>
    <row r="153" ht="16.5" customHeight="1">
      <c r="T153" s="55"/>
    </row>
    <row r="154" ht="16.5" customHeight="1">
      <c r="T154" s="55"/>
    </row>
    <row r="155" ht="16.5" customHeight="1">
      <c r="T155" s="55"/>
    </row>
    <row r="156" ht="16.5" customHeight="1">
      <c r="T156" s="55"/>
    </row>
    <row r="157" ht="16.5" customHeight="1">
      <c r="T157" s="55"/>
    </row>
    <row r="158" ht="16.5" customHeight="1">
      <c r="T158" s="55"/>
    </row>
    <row r="159" ht="16.5" customHeight="1">
      <c r="T159" s="55"/>
    </row>
    <row r="160" ht="16.5" customHeight="1">
      <c r="T160" s="55"/>
    </row>
    <row r="161" ht="16.5" customHeight="1">
      <c r="T161" s="55"/>
    </row>
    <row r="162" ht="16.5" customHeight="1">
      <c r="T162" s="55"/>
    </row>
    <row r="163" ht="16.5" customHeight="1">
      <c r="T163" s="55"/>
    </row>
    <row r="164" ht="16.5" customHeight="1">
      <c r="T164" s="55"/>
    </row>
    <row r="165" ht="16.5" customHeight="1">
      <c r="T165" s="55"/>
    </row>
    <row r="166" ht="16.5" customHeight="1">
      <c r="T166" s="55"/>
    </row>
    <row r="167" ht="16.5" customHeight="1">
      <c r="T167" s="55"/>
    </row>
    <row r="168" ht="16.5" customHeight="1">
      <c r="T168" s="55"/>
    </row>
    <row r="169" ht="16.5" customHeight="1">
      <c r="T169" s="55"/>
    </row>
    <row r="170" ht="16.5" customHeight="1">
      <c r="T170" s="55"/>
    </row>
    <row r="171" ht="16.5" customHeight="1">
      <c r="T171" s="55"/>
    </row>
    <row r="172" ht="16.5" customHeight="1">
      <c r="T172" s="55"/>
    </row>
    <row r="173" ht="18">
      <c r="T173" s="55"/>
    </row>
    <row r="174" ht="18">
      <c r="T174" s="55"/>
    </row>
    <row r="175" ht="18">
      <c r="T175" s="55"/>
    </row>
    <row r="176" ht="18">
      <c r="T176" s="55"/>
    </row>
    <row r="177" ht="18">
      <c r="T177" s="55"/>
    </row>
    <row r="178" ht="18">
      <c r="T178" s="55"/>
    </row>
    <row r="179" ht="18">
      <c r="T179" s="55"/>
    </row>
    <row r="180" ht="18">
      <c r="T180" s="55"/>
    </row>
    <row r="181" ht="18">
      <c r="T181" s="55"/>
    </row>
    <row r="182" ht="18">
      <c r="T182" s="55"/>
    </row>
    <row r="183" ht="18">
      <c r="T183" s="55"/>
    </row>
    <row r="184" ht="18">
      <c r="T184" s="55"/>
    </row>
    <row r="185" ht="18">
      <c r="T185" s="55"/>
    </row>
    <row r="186" ht="18">
      <c r="T186" s="55"/>
    </row>
    <row r="187" ht="18">
      <c r="T187" s="55"/>
    </row>
    <row r="188" ht="18">
      <c r="T188" s="55"/>
    </row>
    <row r="189" ht="18">
      <c r="T189" s="55"/>
    </row>
    <row r="190" ht="18">
      <c r="T190" s="55"/>
    </row>
    <row r="191" ht="18">
      <c r="T191" s="55"/>
    </row>
    <row r="192" ht="18">
      <c r="T192" s="55"/>
    </row>
  </sheetData>
  <sheetProtection/>
  <mergeCells count="19">
    <mergeCell ref="AK10:AL10"/>
    <mergeCell ref="H64:I67"/>
    <mergeCell ref="V13:X13"/>
    <mergeCell ref="V14:X14"/>
    <mergeCell ref="U31:V31"/>
    <mergeCell ref="U34:V34"/>
    <mergeCell ref="U32:V32"/>
    <mergeCell ref="U33:V33"/>
    <mergeCell ref="AK11:AL11"/>
    <mergeCell ref="C35:D35"/>
    <mergeCell ref="C36:D36"/>
    <mergeCell ref="C37:D37"/>
    <mergeCell ref="V9:X9"/>
    <mergeCell ref="V10:X10"/>
    <mergeCell ref="V11:X11"/>
    <mergeCell ref="V12:X12"/>
    <mergeCell ref="C33:D33"/>
    <mergeCell ref="C34:D34"/>
    <mergeCell ref="B14:C14"/>
  </mergeCells>
  <printOptions/>
  <pageMargins left="0.54" right="0.56" top="1.16" bottom="0.46" header="0.5118110236220472" footer="0.29"/>
  <pageSetup orientation="landscape" paperSize="9" scale="84"/>
  <rowBreaks count="3" manualBreakCount="3">
    <brk id="14" max="8" man="1"/>
    <brk id="31" max="8" man="1"/>
    <brk id="52" max="8" man="1"/>
  </rowBreaks>
  <drawing r:id="rId1"/>
</worksheet>
</file>

<file path=xl/worksheets/sheet2.xml><?xml version="1.0" encoding="utf-8"?>
<worksheet xmlns="http://schemas.openxmlformats.org/spreadsheetml/2006/main" xmlns:r="http://schemas.openxmlformats.org/officeDocument/2006/relationships">
  <sheetPr codeName="Sheet2"/>
  <dimension ref="A1:CA109"/>
  <sheetViews>
    <sheetView zoomScale="125" zoomScaleNormal="125" workbookViewId="0" topLeftCell="A1">
      <selection activeCell="A9" sqref="A9:IV9"/>
    </sheetView>
  </sheetViews>
  <sheetFormatPr defaultColWidth="10.59765625" defaultRowHeight="15"/>
  <cols>
    <col min="1" max="1" width="14.59765625" style="1137" customWidth="1"/>
    <col min="2" max="2" width="12.59765625" style="1137" customWidth="1"/>
    <col min="3" max="3" width="18.59765625" style="1137" customWidth="1"/>
    <col min="4" max="4" width="12.59765625" style="1137" customWidth="1"/>
    <col min="5" max="5" width="18.59765625" style="1137" customWidth="1"/>
    <col min="6" max="6" width="14.59765625" style="1142" customWidth="1"/>
    <col min="7" max="7" width="12.59765625" style="1137" customWidth="1"/>
    <col min="8" max="8" width="18.59765625" style="1137" customWidth="1"/>
    <col min="9" max="9" width="12.59765625" style="1137" customWidth="1"/>
    <col min="10" max="10" width="18.59765625" style="1137" customWidth="1"/>
    <col min="11" max="11" width="14.59765625" style="1138" customWidth="1"/>
    <col min="12" max="12" width="12.59765625" style="1138" customWidth="1"/>
    <col min="13" max="13" width="18.59765625" style="1138" customWidth="1"/>
    <col min="14" max="14" width="12.59765625" style="1138" customWidth="1"/>
    <col min="15" max="15" width="18.59765625" style="1137" customWidth="1"/>
    <col min="16" max="16" width="14.59765625" style="1138" customWidth="1"/>
    <col min="17" max="17" width="12.59765625" style="1137" customWidth="1"/>
    <col min="18" max="18" width="18.59765625" style="1138" customWidth="1"/>
    <col min="19" max="19" width="12.59765625" style="1138" customWidth="1"/>
    <col min="20" max="20" width="18.59765625" style="1138" customWidth="1"/>
    <col min="21" max="21" width="14.59765625" style="1137" customWidth="1"/>
    <col min="22" max="22" width="12.59765625" style="1138" customWidth="1"/>
    <col min="23" max="23" width="18.59765625" style="1138" customWidth="1"/>
    <col min="24" max="24" width="12.59765625" style="1138" customWidth="1"/>
    <col min="25" max="25" width="18.59765625" style="1138" customWidth="1"/>
    <col min="26" max="26" width="12.59765625" style="1143" customWidth="1"/>
    <col min="27" max="27" width="10.59765625" style="1137" customWidth="1"/>
    <col min="28" max="32" width="10.59765625" style="1138" customWidth="1"/>
    <col min="33" max="33" width="10.59765625" style="1137" customWidth="1"/>
    <col min="34" max="34" width="10.59765625" style="1138" customWidth="1"/>
    <col min="35" max="39" width="10.59765625" style="1137" customWidth="1"/>
    <col min="40" max="41" width="10.59765625" style="1138" customWidth="1"/>
    <col min="42" max="42" width="10.59765625" style="1137" customWidth="1"/>
    <col min="43" max="56" width="10.59765625" style="1138" customWidth="1"/>
    <col min="57" max="60" width="10.59765625" style="1137" customWidth="1"/>
    <col min="61" max="61" width="10.59765625" style="1138" customWidth="1"/>
    <col min="62" max="62" width="10.59765625" style="1137" customWidth="1"/>
    <col min="63" max="65" width="10.59765625" style="1138" customWidth="1"/>
    <col min="66" max="66" width="10.59765625" style="1137" customWidth="1"/>
    <col min="67" max="68" width="10.59765625" style="1138" customWidth="1"/>
    <col min="69" max="69" width="10.59765625" style="1137" customWidth="1"/>
    <col min="70" max="70" width="10.59765625" style="1139" customWidth="1"/>
    <col min="71" max="71" width="10.59765625" style="1140" customWidth="1"/>
    <col min="72" max="74" width="10.59765625" style="1138" customWidth="1"/>
    <col min="75" max="76" width="10.59765625" style="1141" customWidth="1"/>
    <col min="77" max="77" width="10.59765625" style="1140" customWidth="1"/>
    <col min="78" max="16384" width="10.59765625" style="1137" customWidth="1"/>
  </cols>
  <sheetData>
    <row r="1" spans="1:77" s="1094" customFormat="1" ht="19.5" customHeight="1">
      <c r="A1" s="34" t="s">
        <v>122</v>
      </c>
      <c r="B1" s="34"/>
      <c r="C1" s="34"/>
      <c r="D1" s="35" t="s">
        <v>1215</v>
      </c>
      <c r="E1" s="1087"/>
      <c r="F1" s="1087"/>
      <c r="G1" s="1087"/>
      <c r="H1" s="1087"/>
      <c r="I1" s="1088"/>
      <c r="J1" s="1088"/>
      <c r="K1" s="310"/>
      <c r="L1" s="310"/>
      <c r="M1" s="310"/>
      <c r="N1" s="310"/>
      <c r="O1" s="310"/>
      <c r="P1" s="310"/>
      <c r="Q1" s="310"/>
      <c r="R1" s="310"/>
      <c r="S1" s="310"/>
      <c r="T1" s="310"/>
      <c r="U1" s="310"/>
      <c r="V1" s="310"/>
      <c r="W1" s="310"/>
      <c r="X1" s="310"/>
      <c r="Y1" s="310"/>
      <c r="Z1" s="1089"/>
      <c r="AA1" s="310"/>
      <c r="AB1" s="1088"/>
      <c r="AC1" s="1088"/>
      <c r="AD1" s="310"/>
      <c r="AE1" s="1088"/>
      <c r="AF1" s="1088"/>
      <c r="AG1" s="1088"/>
      <c r="AH1" s="1088"/>
      <c r="AI1" s="1088"/>
      <c r="AJ1" s="1088"/>
      <c r="AK1" s="1088"/>
      <c r="AL1" s="310" t="s">
        <v>190</v>
      </c>
      <c r="AM1" s="310"/>
      <c r="AN1" s="310"/>
      <c r="AO1" s="310"/>
      <c r="AP1" s="310"/>
      <c r="AQ1" s="1090"/>
      <c r="AR1" s="310"/>
      <c r="AS1" s="310"/>
      <c r="AT1" s="310"/>
      <c r="AU1" s="310"/>
      <c r="AV1" s="310"/>
      <c r="AW1" s="310"/>
      <c r="AX1" s="310"/>
      <c r="AY1" s="310"/>
      <c r="AZ1" s="310"/>
      <c r="BA1" s="310"/>
      <c r="BB1" s="310"/>
      <c r="BC1" s="310"/>
      <c r="BD1" s="1088"/>
      <c r="BE1" s="1088"/>
      <c r="BF1" s="1088"/>
      <c r="BG1" s="790"/>
      <c r="BH1" s="790"/>
      <c r="BI1" s="310"/>
      <c r="BJ1" s="310"/>
      <c r="BK1" s="310"/>
      <c r="BL1" s="310" t="s">
        <v>997</v>
      </c>
      <c r="BM1" s="310"/>
      <c r="BN1" s="310"/>
      <c r="BO1" s="310"/>
      <c r="BP1" s="310"/>
      <c r="BQ1" s="310"/>
      <c r="BR1" s="1091"/>
      <c r="BS1" s="1092"/>
      <c r="BT1" s="310"/>
      <c r="BU1" s="310"/>
      <c r="BV1" s="310"/>
      <c r="BW1" s="1093"/>
      <c r="BX1" s="1093"/>
      <c r="BY1" s="1092"/>
    </row>
    <row r="2" spans="1:77" s="317" customFormat="1" ht="19.5" customHeight="1">
      <c r="A2" s="1095" t="s">
        <v>679</v>
      </c>
      <c r="B2" s="1095" t="s">
        <v>679</v>
      </c>
      <c r="C2" s="1096" t="s">
        <v>680</v>
      </c>
      <c r="D2" s="1096" t="s">
        <v>680</v>
      </c>
      <c r="E2" s="1096" t="s">
        <v>680</v>
      </c>
      <c r="F2" s="1097" t="s">
        <v>1076</v>
      </c>
      <c r="G2" s="1096" t="s">
        <v>680</v>
      </c>
      <c r="H2" s="1096" t="s">
        <v>680</v>
      </c>
      <c r="I2" s="1096" t="s">
        <v>680</v>
      </c>
      <c r="J2" s="1096" t="s">
        <v>680</v>
      </c>
      <c r="K2" s="1096" t="s">
        <v>680</v>
      </c>
      <c r="L2" s="1096" t="s">
        <v>191</v>
      </c>
      <c r="M2" s="1096" t="s">
        <v>192</v>
      </c>
      <c r="N2" s="1096" t="s">
        <v>1027</v>
      </c>
      <c r="O2" s="1096" t="s">
        <v>192</v>
      </c>
      <c r="P2" s="1096" t="s">
        <v>1228</v>
      </c>
      <c r="Q2" s="1096" t="s">
        <v>1228</v>
      </c>
      <c r="R2" s="1096" t="s">
        <v>346</v>
      </c>
      <c r="S2" s="1096" t="s">
        <v>192</v>
      </c>
      <c r="T2" s="1096" t="s">
        <v>1229</v>
      </c>
      <c r="U2" s="1096" t="s">
        <v>669</v>
      </c>
      <c r="V2" s="1096" t="s">
        <v>1230</v>
      </c>
      <c r="W2" s="1096"/>
      <c r="X2" s="1096" t="s">
        <v>1258</v>
      </c>
      <c r="Y2" s="1098" t="s">
        <v>351</v>
      </c>
      <c r="Z2" s="1099" t="s">
        <v>352</v>
      </c>
      <c r="AA2" s="1096" t="s">
        <v>147</v>
      </c>
      <c r="AB2" s="1096" t="s">
        <v>347</v>
      </c>
      <c r="AC2" s="1096"/>
      <c r="AD2" s="1096" t="s">
        <v>408</v>
      </c>
      <c r="AE2" s="1096" t="s">
        <v>353</v>
      </c>
      <c r="AF2" s="1095" t="s">
        <v>354</v>
      </c>
      <c r="AG2" s="1096" t="s">
        <v>1228</v>
      </c>
      <c r="AH2" s="1095" t="s">
        <v>597</v>
      </c>
      <c r="AI2" s="1096" t="s">
        <v>1228</v>
      </c>
      <c r="AJ2" s="1095" t="s">
        <v>598</v>
      </c>
      <c r="AK2" s="1096" t="s">
        <v>1228</v>
      </c>
      <c r="AL2" s="1095" t="s">
        <v>599</v>
      </c>
      <c r="AM2" s="1096" t="s">
        <v>1228</v>
      </c>
      <c r="AN2" s="1096" t="s">
        <v>1103</v>
      </c>
      <c r="AO2" s="1096" t="s">
        <v>1103</v>
      </c>
      <c r="AP2" s="1096" t="s">
        <v>600</v>
      </c>
      <c r="AQ2" s="1095" t="s">
        <v>194</v>
      </c>
      <c r="AR2" s="1096" t="s">
        <v>192</v>
      </c>
      <c r="AS2" s="1096" t="s">
        <v>192</v>
      </c>
      <c r="AT2" s="1096" t="s">
        <v>192</v>
      </c>
      <c r="AU2" s="1096" t="s">
        <v>1288</v>
      </c>
      <c r="AV2" s="1096" t="s">
        <v>1118</v>
      </c>
      <c r="AW2" s="1096"/>
      <c r="AX2" s="1096"/>
      <c r="AY2" s="1096" t="s">
        <v>1260</v>
      </c>
      <c r="AZ2" s="1096" t="s">
        <v>1109</v>
      </c>
      <c r="BA2" s="1096" t="s">
        <v>1109</v>
      </c>
      <c r="BB2" s="1095"/>
      <c r="BC2" s="1096" t="s">
        <v>669</v>
      </c>
      <c r="BD2" s="1095" t="s">
        <v>1110</v>
      </c>
      <c r="BE2" s="1095" t="s">
        <v>1110</v>
      </c>
      <c r="BF2" s="1095" t="s">
        <v>1110</v>
      </c>
      <c r="BG2" s="1095" t="s">
        <v>207</v>
      </c>
      <c r="BH2" s="1095" t="s">
        <v>1072</v>
      </c>
      <c r="BI2" s="310"/>
      <c r="BJ2" s="310"/>
      <c r="BK2" s="1100" t="s">
        <v>350</v>
      </c>
      <c r="BL2" s="310" t="s">
        <v>997</v>
      </c>
      <c r="BM2" s="310"/>
      <c r="BN2" s="310"/>
      <c r="BO2" s="310"/>
      <c r="BP2" s="310"/>
      <c r="BQ2" s="310"/>
      <c r="BR2" s="1091"/>
      <c r="BS2" s="1092"/>
      <c r="BT2" s="310"/>
      <c r="BU2" s="310"/>
      <c r="BV2" s="310"/>
      <c r="BW2" s="1093"/>
      <c r="BX2" s="1093"/>
      <c r="BY2" s="1092"/>
    </row>
    <row r="3" spans="1:77" s="317" customFormat="1" ht="19.5" customHeight="1">
      <c r="A3" s="1095" t="s">
        <v>593</v>
      </c>
      <c r="B3" s="1097" t="s">
        <v>750</v>
      </c>
      <c r="C3" s="1097" t="s">
        <v>950</v>
      </c>
      <c r="D3" s="1097" t="s">
        <v>491</v>
      </c>
      <c r="E3" s="1097" t="s">
        <v>1054</v>
      </c>
      <c r="F3" s="1101" t="s">
        <v>208</v>
      </c>
      <c r="G3" s="1097" t="s">
        <v>559</v>
      </c>
      <c r="H3" s="1097" t="s">
        <v>606</v>
      </c>
      <c r="I3" s="1097" t="s">
        <v>665</v>
      </c>
      <c r="J3" s="1097" t="s">
        <v>1216</v>
      </c>
      <c r="K3" s="1097" t="s">
        <v>586</v>
      </c>
      <c r="L3" s="1097" t="s">
        <v>399</v>
      </c>
      <c r="M3" s="1097" t="s">
        <v>911</v>
      </c>
      <c r="N3" s="1097" t="s">
        <v>778</v>
      </c>
      <c r="O3" s="1097" t="s">
        <v>500</v>
      </c>
      <c r="P3" s="1097" t="s">
        <v>919</v>
      </c>
      <c r="Q3" s="1097" t="s">
        <v>1335</v>
      </c>
      <c r="R3" s="1097" t="s">
        <v>1336</v>
      </c>
      <c r="S3" s="1097" t="s">
        <v>1174</v>
      </c>
      <c r="T3" s="1097" t="s">
        <v>1175</v>
      </c>
      <c r="U3" s="1097" t="s">
        <v>1176</v>
      </c>
      <c r="V3" s="1097" t="s">
        <v>1177</v>
      </c>
      <c r="W3" s="1097" t="s">
        <v>1098</v>
      </c>
      <c r="X3" s="1097" t="s">
        <v>1099</v>
      </c>
      <c r="Y3" s="1101" t="s">
        <v>209</v>
      </c>
      <c r="Z3" s="1102" t="s">
        <v>227</v>
      </c>
      <c r="AA3" s="1097" t="s">
        <v>1104</v>
      </c>
      <c r="AB3" s="1097" t="s">
        <v>342</v>
      </c>
      <c r="AC3" s="1097" t="s">
        <v>853</v>
      </c>
      <c r="AD3" s="1097" t="s">
        <v>854</v>
      </c>
      <c r="AE3" s="1097" t="s">
        <v>228</v>
      </c>
      <c r="AF3" s="1097" t="s">
        <v>229</v>
      </c>
      <c r="AG3" s="1097" t="s">
        <v>230</v>
      </c>
      <c r="AH3" s="1097" t="s">
        <v>225</v>
      </c>
      <c r="AI3" s="1097" t="s">
        <v>521</v>
      </c>
      <c r="AJ3" s="1097" t="s">
        <v>231</v>
      </c>
      <c r="AK3" s="1097" t="s">
        <v>850</v>
      </c>
      <c r="AL3" s="1097" t="s">
        <v>851</v>
      </c>
      <c r="AM3" s="1097" t="s">
        <v>852</v>
      </c>
      <c r="AN3" s="1097" t="s">
        <v>549</v>
      </c>
      <c r="AO3" s="1097" t="s">
        <v>550</v>
      </c>
      <c r="AP3" s="1097" t="s">
        <v>934</v>
      </c>
      <c r="AQ3" s="1095" t="s">
        <v>232</v>
      </c>
      <c r="AR3" s="1097" t="s">
        <v>986</v>
      </c>
      <c r="AS3" s="1097" t="s">
        <v>618</v>
      </c>
      <c r="AT3" s="1097" t="s">
        <v>619</v>
      </c>
      <c r="AU3" s="1097" t="s">
        <v>234</v>
      </c>
      <c r="AV3" s="1097" t="s">
        <v>835</v>
      </c>
      <c r="AW3" s="1097" t="s">
        <v>369</v>
      </c>
      <c r="AX3" s="1097" t="s">
        <v>1134</v>
      </c>
      <c r="AY3" s="1097" t="s">
        <v>1135</v>
      </c>
      <c r="AZ3" s="1097" t="s">
        <v>1179</v>
      </c>
      <c r="BA3" s="1097" t="s">
        <v>1062</v>
      </c>
      <c r="BB3" s="1097" t="s">
        <v>235</v>
      </c>
      <c r="BC3" s="1097" t="s">
        <v>236</v>
      </c>
      <c r="BD3" s="1095" t="s">
        <v>1025</v>
      </c>
      <c r="BE3" s="1095" t="s">
        <v>1034</v>
      </c>
      <c r="BF3" s="1095" t="s">
        <v>294</v>
      </c>
      <c r="BG3" s="1095" t="s">
        <v>237</v>
      </c>
      <c r="BH3" s="1095" t="s">
        <v>238</v>
      </c>
      <c r="BI3" s="310"/>
      <c r="BJ3" s="310"/>
      <c r="BK3" s="311" t="s">
        <v>593</v>
      </c>
      <c r="BL3" s="311" t="s">
        <v>750</v>
      </c>
      <c r="BM3" s="311" t="s">
        <v>950</v>
      </c>
      <c r="BN3" s="311" t="s">
        <v>491</v>
      </c>
      <c r="BO3" s="311" t="s">
        <v>644</v>
      </c>
      <c r="BP3" s="311" t="s">
        <v>399</v>
      </c>
      <c r="BQ3" s="311" t="s">
        <v>559</v>
      </c>
      <c r="BR3" s="312" t="s">
        <v>606</v>
      </c>
      <c r="BS3" s="313" t="s">
        <v>665</v>
      </c>
      <c r="BT3" s="311" t="s">
        <v>586</v>
      </c>
      <c r="BU3" s="314" t="s">
        <v>239</v>
      </c>
      <c r="BV3" s="315" t="s">
        <v>602</v>
      </c>
      <c r="BW3" s="315" t="s">
        <v>603</v>
      </c>
      <c r="BX3" s="315" t="s">
        <v>604</v>
      </c>
      <c r="BY3" s="316" t="s">
        <v>240</v>
      </c>
    </row>
    <row r="4" spans="1:77" s="340" customFormat="1" ht="19.5" customHeight="1">
      <c r="A4" s="315">
        <v>1</v>
      </c>
      <c r="B4" s="318" t="s">
        <v>295</v>
      </c>
      <c r="C4" s="319">
        <v>1</v>
      </c>
      <c r="D4" s="320" t="s">
        <v>16</v>
      </c>
      <c r="E4" s="319" t="s">
        <v>1091</v>
      </c>
      <c r="F4" s="319">
        <v>1</v>
      </c>
      <c r="G4" s="321">
        <v>255.69</v>
      </c>
      <c r="H4" s="322"/>
      <c r="I4" s="323"/>
      <c r="J4" s="324"/>
      <c r="K4" s="325"/>
      <c r="L4" s="319" t="s">
        <v>1211</v>
      </c>
      <c r="M4" s="319">
        <v>31</v>
      </c>
      <c r="N4" s="319">
        <v>4</v>
      </c>
      <c r="O4" s="319">
        <v>2</v>
      </c>
      <c r="P4" s="326">
        <v>5.5</v>
      </c>
      <c r="Q4" s="326">
        <v>0</v>
      </c>
      <c r="R4" s="319">
        <v>0</v>
      </c>
      <c r="S4" s="319">
        <v>1</v>
      </c>
      <c r="T4" s="319"/>
      <c r="U4" s="327">
        <v>0</v>
      </c>
      <c r="V4" s="319"/>
      <c r="W4" s="327">
        <v>0</v>
      </c>
      <c r="X4" s="319">
        <v>6</v>
      </c>
      <c r="Y4" s="328" t="s">
        <v>574</v>
      </c>
      <c r="Z4" s="329">
        <v>1</v>
      </c>
      <c r="AA4" s="330">
        <v>0</v>
      </c>
      <c r="AB4" s="326">
        <v>9.8</v>
      </c>
      <c r="AC4" s="326">
        <v>22.8</v>
      </c>
      <c r="AD4" s="319">
        <v>2</v>
      </c>
      <c r="AE4" s="331">
        <v>1</v>
      </c>
      <c r="AF4" s="332" t="s">
        <v>1212</v>
      </c>
      <c r="AG4" s="333">
        <v>5300</v>
      </c>
      <c r="AH4" s="334" t="s">
        <v>1092</v>
      </c>
      <c r="AI4" s="333">
        <v>1300</v>
      </c>
      <c r="AJ4" s="334" t="s">
        <v>1093</v>
      </c>
      <c r="AK4" s="333">
        <v>700</v>
      </c>
      <c r="AL4" s="334" t="s">
        <v>991</v>
      </c>
      <c r="AM4" s="333">
        <v>0</v>
      </c>
      <c r="AN4" s="318">
        <v>0</v>
      </c>
      <c r="AO4" s="318">
        <v>0</v>
      </c>
      <c r="AP4" s="320" t="s">
        <v>1213</v>
      </c>
      <c r="AQ4" s="335">
        <v>4</v>
      </c>
      <c r="AR4" s="319">
        <v>1</v>
      </c>
      <c r="AS4" s="319">
        <v>1</v>
      </c>
      <c r="AT4" s="319">
        <v>1</v>
      </c>
      <c r="AU4" s="319">
        <v>1</v>
      </c>
      <c r="AV4" s="319">
        <v>16</v>
      </c>
      <c r="AW4" s="319">
        <v>200</v>
      </c>
      <c r="AX4" s="319">
        <v>60</v>
      </c>
      <c r="AY4" s="319">
        <v>2</v>
      </c>
      <c r="AZ4" s="336">
        <v>1</v>
      </c>
      <c r="BA4" s="336">
        <v>1</v>
      </c>
      <c r="BB4" s="337" t="s">
        <v>1085</v>
      </c>
      <c r="BC4" s="338">
        <v>0</v>
      </c>
      <c r="BD4" s="337">
        <v>4</v>
      </c>
      <c r="BE4" s="337">
        <v>4</v>
      </c>
      <c r="BF4" s="337">
        <v>4</v>
      </c>
      <c r="BG4" s="339" t="s">
        <v>669</v>
      </c>
      <c r="BH4" s="339"/>
      <c r="BK4" s="337"/>
      <c r="BL4" s="337"/>
      <c r="BM4" s="337"/>
      <c r="BN4" s="341"/>
      <c r="BO4" s="337"/>
      <c r="BP4" s="337"/>
      <c r="BQ4" s="341"/>
      <c r="BR4" s="342"/>
      <c r="BS4" s="343"/>
      <c r="BT4" s="337"/>
      <c r="BU4" s="337"/>
      <c r="BV4" s="337"/>
      <c r="BW4" s="341"/>
      <c r="BX4" s="341"/>
      <c r="BY4" s="343"/>
    </row>
    <row r="5" spans="1:77" s="20" customFormat="1" ht="19.5" customHeight="1">
      <c r="A5" s="1103">
        <v>6</v>
      </c>
      <c r="B5" s="1103" t="s">
        <v>18</v>
      </c>
      <c r="C5" s="1104" t="s">
        <v>20</v>
      </c>
      <c r="D5" s="1105" t="s">
        <v>22</v>
      </c>
      <c r="E5" s="1104" t="s">
        <v>1091</v>
      </c>
      <c r="F5" s="1104">
        <v>1</v>
      </c>
      <c r="G5" s="1106">
        <v>225</v>
      </c>
      <c r="H5" s="1107">
        <v>36160</v>
      </c>
      <c r="I5" s="1108">
        <v>120000</v>
      </c>
      <c r="J5" s="1104">
        <v>0</v>
      </c>
      <c r="K5" s="1104">
        <v>100</v>
      </c>
      <c r="L5" s="1104" t="s">
        <v>212</v>
      </c>
      <c r="M5" s="1104">
        <v>31</v>
      </c>
      <c r="N5" s="1104">
        <v>2</v>
      </c>
      <c r="O5" s="1104">
        <v>4</v>
      </c>
      <c r="P5" s="1109">
        <v>5.5</v>
      </c>
      <c r="Q5" s="1110">
        <v>0</v>
      </c>
      <c r="R5" s="1104">
        <v>0</v>
      </c>
      <c r="S5" s="1104">
        <v>1</v>
      </c>
      <c r="T5" s="1104"/>
      <c r="U5" s="1111">
        <v>0</v>
      </c>
      <c r="V5" s="1104"/>
      <c r="W5" s="1111">
        <v>0</v>
      </c>
      <c r="X5" s="1104">
        <v>6</v>
      </c>
      <c r="Y5" s="1112" t="s">
        <v>574</v>
      </c>
      <c r="Z5" s="1113">
        <v>1</v>
      </c>
      <c r="AA5" s="1114">
        <v>0</v>
      </c>
      <c r="AB5" s="1110">
        <v>12.5</v>
      </c>
      <c r="AC5" s="1110">
        <v>19.5</v>
      </c>
      <c r="AD5" s="1104">
        <v>2</v>
      </c>
      <c r="AE5" s="1115">
        <v>1</v>
      </c>
      <c r="AF5" s="332" t="s">
        <v>1212</v>
      </c>
      <c r="AG5" s="1116">
        <v>5500</v>
      </c>
      <c r="AH5" s="1116" t="s">
        <v>1094</v>
      </c>
      <c r="AI5" s="1116">
        <v>1300</v>
      </c>
      <c r="AJ5" s="1116" t="s">
        <v>1093</v>
      </c>
      <c r="AK5" s="1116">
        <v>300</v>
      </c>
      <c r="AL5" s="334" t="s">
        <v>991</v>
      </c>
      <c r="AM5" s="333">
        <v>0</v>
      </c>
      <c r="AN5" s="1104">
        <v>0</v>
      </c>
      <c r="AO5" s="1104">
        <v>0</v>
      </c>
      <c r="AP5" s="1105" t="s">
        <v>1095</v>
      </c>
      <c r="AQ5" s="1103">
        <v>4</v>
      </c>
      <c r="AR5" s="1104">
        <v>1</v>
      </c>
      <c r="AS5" s="1104">
        <v>1</v>
      </c>
      <c r="AT5" s="1104">
        <v>1</v>
      </c>
      <c r="AU5" s="1104">
        <v>1</v>
      </c>
      <c r="AV5" s="1103">
        <v>14</v>
      </c>
      <c r="AW5" s="1104">
        <v>200</v>
      </c>
      <c r="AX5" s="1104">
        <v>60</v>
      </c>
      <c r="AY5" s="1104">
        <v>2</v>
      </c>
      <c r="AZ5" s="1104">
        <v>1</v>
      </c>
      <c r="BA5" s="1104">
        <v>1</v>
      </c>
      <c r="BB5" s="1103" t="s">
        <v>1085</v>
      </c>
      <c r="BC5" s="1117">
        <v>0</v>
      </c>
      <c r="BD5" s="1103">
        <v>4</v>
      </c>
      <c r="BE5" s="1103">
        <v>3</v>
      </c>
      <c r="BF5" s="1103">
        <v>4</v>
      </c>
      <c r="BG5" s="1118"/>
      <c r="BH5" s="1118"/>
      <c r="BK5" s="1119"/>
      <c r="BL5" s="1119"/>
      <c r="BM5" s="1119"/>
      <c r="BN5" s="1120"/>
      <c r="BO5" s="1119"/>
      <c r="BP5" s="1119"/>
      <c r="BQ5" s="1120"/>
      <c r="BR5" s="1121"/>
      <c r="BS5" s="1122"/>
      <c r="BT5" s="1119"/>
      <c r="BU5" s="1119"/>
      <c r="BV5" s="1119"/>
      <c r="BW5" s="1120"/>
      <c r="BX5" s="1120"/>
      <c r="BY5" s="1122"/>
    </row>
    <row r="6" spans="1:77" s="340" customFormat="1" ht="19.5" customHeight="1">
      <c r="A6" s="315">
        <v>8</v>
      </c>
      <c r="B6" s="315" t="s">
        <v>1113</v>
      </c>
      <c r="C6" s="337">
        <v>1</v>
      </c>
      <c r="D6" s="341" t="s">
        <v>1096</v>
      </c>
      <c r="E6" s="337" t="s">
        <v>1091</v>
      </c>
      <c r="F6" s="337">
        <v>1</v>
      </c>
      <c r="G6" s="1123">
        <v>240</v>
      </c>
      <c r="H6" s="342">
        <v>36118</v>
      </c>
      <c r="I6" s="1124">
        <v>113000</v>
      </c>
      <c r="J6" s="337">
        <v>0</v>
      </c>
      <c r="K6" s="337">
        <v>100</v>
      </c>
      <c r="L6" s="337" t="s">
        <v>212</v>
      </c>
      <c r="M6" s="337">
        <v>31</v>
      </c>
      <c r="N6" s="337">
        <v>2</v>
      </c>
      <c r="O6" s="337">
        <v>2</v>
      </c>
      <c r="P6" s="1125">
        <v>5.5</v>
      </c>
      <c r="Q6" s="1125">
        <v>0</v>
      </c>
      <c r="R6" s="319">
        <v>0</v>
      </c>
      <c r="S6" s="319">
        <v>1</v>
      </c>
      <c r="T6" s="337"/>
      <c r="U6" s="327">
        <v>0</v>
      </c>
      <c r="V6" s="337"/>
      <c r="W6" s="327">
        <v>0</v>
      </c>
      <c r="X6" s="319">
        <v>6</v>
      </c>
      <c r="Y6" s="328" t="s">
        <v>574</v>
      </c>
      <c r="Z6" s="329">
        <v>1</v>
      </c>
      <c r="AA6" s="330">
        <v>0</v>
      </c>
      <c r="AB6" s="1125">
        <v>6.5</v>
      </c>
      <c r="AC6" s="1125">
        <v>19</v>
      </c>
      <c r="AD6" s="319">
        <v>2</v>
      </c>
      <c r="AE6" s="331">
        <v>1</v>
      </c>
      <c r="AF6" s="332" t="s">
        <v>1212</v>
      </c>
      <c r="AG6" s="1126">
        <v>5100</v>
      </c>
      <c r="AH6" s="334" t="s">
        <v>1094</v>
      </c>
      <c r="AI6" s="1126">
        <v>1500</v>
      </c>
      <c r="AJ6" s="334" t="s">
        <v>1093</v>
      </c>
      <c r="AK6" s="1126">
        <v>500</v>
      </c>
      <c r="AL6" s="334" t="s">
        <v>991</v>
      </c>
      <c r="AM6" s="333">
        <v>0</v>
      </c>
      <c r="AN6" s="318">
        <v>0</v>
      </c>
      <c r="AO6" s="318">
        <v>0</v>
      </c>
      <c r="AP6" s="332" t="s">
        <v>1214</v>
      </c>
      <c r="AQ6" s="335">
        <v>4</v>
      </c>
      <c r="AR6" s="337">
        <v>1</v>
      </c>
      <c r="AS6" s="337">
        <v>1</v>
      </c>
      <c r="AT6" s="337">
        <v>1</v>
      </c>
      <c r="AU6" s="337">
        <v>1</v>
      </c>
      <c r="AV6" s="337">
        <v>14</v>
      </c>
      <c r="AW6" s="337">
        <v>200</v>
      </c>
      <c r="AX6" s="337">
        <v>60</v>
      </c>
      <c r="AY6" s="337">
        <v>2</v>
      </c>
      <c r="AZ6" s="336">
        <v>1</v>
      </c>
      <c r="BA6" s="336">
        <v>1</v>
      </c>
      <c r="BB6" s="1119" t="s">
        <v>1085</v>
      </c>
      <c r="BC6" s="338">
        <v>0</v>
      </c>
      <c r="BD6" s="337">
        <v>4</v>
      </c>
      <c r="BE6" s="337">
        <v>4</v>
      </c>
      <c r="BF6" s="337">
        <v>4</v>
      </c>
      <c r="BG6" s="339" t="s">
        <v>669</v>
      </c>
      <c r="BH6" s="1127" t="s">
        <v>1097</v>
      </c>
      <c r="BK6" s="337"/>
      <c r="BL6" s="337"/>
      <c r="BM6" s="337"/>
      <c r="BN6" s="341"/>
      <c r="BO6" s="337"/>
      <c r="BP6" s="337"/>
      <c r="BQ6" s="341"/>
      <c r="BR6" s="342"/>
      <c r="BS6" s="343"/>
      <c r="BT6" s="337"/>
      <c r="BU6" s="337"/>
      <c r="BV6" s="337"/>
      <c r="BW6" s="341"/>
      <c r="BX6" s="341"/>
      <c r="BY6" s="343"/>
    </row>
    <row r="7" spans="1:77" s="340" customFormat="1" ht="19.5" customHeight="1">
      <c r="A7" s="315">
        <v>9</v>
      </c>
      <c r="B7" s="315" t="s">
        <v>1113</v>
      </c>
      <c r="C7" s="337">
        <v>2</v>
      </c>
      <c r="D7" s="341" t="s">
        <v>1202</v>
      </c>
      <c r="E7" s="337" t="s">
        <v>1091</v>
      </c>
      <c r="F7" s="337">
        <v>1</v>
      </c>
      <c r="G7" s="1123">
        <v>185</v>
      </c>
      <c r="H7" s="342">
        <v>35987</v>
      </c>
      <c r="I7" s="1124">
        <v>114000</v>
      </c>
      <c r="J7" s="337">
        <v>0</v>
      </c>
      <c r="K7" s="337">
        <v>100</v>
      </c>
      <c r="L7" s="337" t="s">
        <v>212</v>
      </c>
      <c r="M7" s="337">
        <v>31</v>
      </c>
      <c r="N7" s="337">
        <v>2</v>
      </c>
      <c r="O7" s="337">
        <v>4</v>
      </c>
      <c r="P7" s="1125">
        <v>5</v>
      </c>
      <c r="Q7" s="1125">
        <v>0</v>
      </c>
      <c r="R7" s="319">
        <v>0</v>
      </c>
      <c r="S7" s="319">
        <v>1</v>
      </c>
      <c r="T7" s="337"/>
      <c r="U7" s="327">
        <v>0</v>
      </c>
      <c r="V7" s="337"/>
      <c r="W7" s="327">
        <v>0</v>
      </c>
      <c r="X7" s="319">
        <v>6</v>
      </c>
      <c r="Y7" s="1128" t="s">
        <v>574</v>
      </c>
      <c r="Z7" s="329">
        <v>1</v>
      </c>
      <c r="AA7" s="330">
        <v>0</v>
      </c>
      <c r="AB7" s="1125">
        <v>7</v>
      </c>
      <c r="AC7" s="1125">
        <v>14</v>
      </c>
      <c r="AD7" s="319">
        <v>2</v>
      </c>
      <c r="AE7" s="331">
        <v>1</v>
      </c>
      <c r="AF7" s="332" t="s">
        <v>1212</v>
      </c>
      <c r="AG7" s="1126">
        <v>5000</v>
      </c>
      <c r="AH7" s="341" t="s">
        <v>1094</v>
      </c>
      <c r="AI7" s="1126">
        <v>1400</v>
      </c>
      <c r="AJ7" s="341" t="s">
        <v>1093</v>
      </c>
      <c r="AK7" s="1126">
        <v>500</v>
      </c>
      <c r="AL7" s="334" t="s">
        <v>991</v>
      </c>
      <c r="AM7" s="333">
        <v>0</v>
      </c>
      <c r="AN7" s="318">
        <v>0</v>
      </c>
      <c r="AO7" s="318">
        <v>0</v>
      </c>
      <c r="AP7" s="332" t="s">
        <v>1214</v>
      </c>
      <c r="AQ7" s="335">
        <v>4</v>
      </c>
      <c r="AR7" s="337">
        <v>1</v>
      </c>
      <c r="AS7" s="337">
        <v>1</v>
      </c>
      <c r="AT7" s="337">
        <v>1</v>
      </c>
      <c r="AU7" s="337">
        <v>1</v>
      </c>
      <c r="AV7" s="337">
        <v>14</v>
      </c>
      <c r="AW7" s="337">
        <v>200</v>
      </c>
      <c r="AX7" s="337">
        <v>60</v>
      </c>
      <c r="AY7" s="337">
        <v>2</v>
      </c>
      <c r="AZ7" s="336">
        <v>1</v>
      </c>
      <c r="BA7" s="336">
        <v>1</v>
      </c>
      <c r="BB7" s="1119" t="s">
        <v>1085</v>
      </c>
      <c r="BC7" s="338">
        <v>0</v>
      </c>
      <c r="BD7" s="337">
        <v>4</v>
      </c>
      <c r="BE7" s="337">
        <v>4</v>
      </c>
      <c r="BF7" s="337">
        <v>4</v>
      </c>
      <c r="BG7" s="339" t="s">
        <v>669</v>
      </c>
      <c r="BH7" s="1127" t="s">
        <v>1203</v>
      </c>
      <c r="BK7" s="337"/>
      <c r="BL7" s="337"/>
      <c r="BM7" s="337"/>
      <c r="BN7" s="341"/>
      <c r="BO7" s="337"/>
      <c r="BP7" s="337"/>
      <c r="BQ7" s="341"/>
      <c r="BR7" s="342"/>
      <c r="BS7" s="343"/>
      <c r="BT7" s="337"/>
      <c r="BU7" s="337"/>
      <c r="BV7" s="337"/>
      <c r="BW7" s="341"/>
      <c r="BX7" s="341"/>
      <c r="BY7" s="343"/>
    </row>
    <row r="8" spans="1:77" s="340" customFormat="1" ht="19.5" customHeight="1">
      <c r="A8" s="315">
        <v>10</v>
      </c>
      <c r="B8" s="315" t="s">
        <v>1113</v>
      </c>
      <c r="C8" s="337">
        <v>3</v>
      </c>
      <c r="D8" s="341" t="s">
        <v>1204</v>
      </c>
      <c r="E8" s="337" t="s">
        <v>1091</v>
      </c>
      <c r="F8" s="337">
        <v>2</v>
      </c>
      <c r="G8" s="1123">
        <v>450</v>
      </c>
      <c r="H8" s="342">
        <v>36215</v>
      </c>
      <c r="I8" s="1124">
        <v>125000</v>
      </c>
      <c r="J8" s="337">
        <v>1</v>
      </c>
      <c r="K8" s="337">
        <v>110</v>
      </c>
      <c r="L8" s="337" t="s">
        <v>212</v>
      </c>
      <c r="M8" s="337">
        <v>31</v>
      </c>
      <c r="N8" s="337">
        <v>2</v>
      </c>
      <c r="O8" s="337">
        <v>4</v>
      </c>
      <c r="P8" s="1125">
        <v>5.5</v>
      </c>
      <c r="Q8" s="1125">
        <v>0</v>
      </c>
      <c r="R8" s="319">
        <v>0</v>
      </c>
      <c r="S8" s="319">
        <v>1</v>
      </c>
      <c r="T8" s="337">
        <v>1</v>
      </c>
      <c r="U8" s="327">
        <v>5.5</v>
      </c>
      <c r="V8" s="337"/>
      <c r="W8" s="327">
        <v>0</v>
      </c>
      <c r="X8" s="319">
        <v>1</v>
      </c>
      <c r="Y8" s="1128" t="s">
        <v>574</v>
      </c>
      <c r="Z8" s="329">
        <v>1</v>
      </c>
      <c r="AA8" s="330">
        <v>0</v>
      </c>
      <c r="AB8" s="1125">
        <v>26.5</v>
      </c>
      <c r="AC8" s="1125">
        <v>18.5</v>
      </c>
      <c r="AD8" s="319">
        <v>2</v>
      </c>
      <c r="AE8" s="331">
        <v>1</v>
      </c>
      <c r="AF8" s="332" t="s">
        <v>1212</v>
      </c>
      <c r="AG8" s="1126">
        <v>5900</v>
      </c>
      <c r="AH8" s="341" t="s">
        <v>1092</v>
      </c>
      <c r="AI8" s="1126">
        <v>800</v>
      </c>
      <c r="AJ8" s="341" t="s">
        <v>1205</v>
      </c>
      <c r="AK8" s="1126">
        <v>1000</v>
      </c>
      <c r="AL8" s="334" t="s">
        <v>991</v>
      </c>
      <c r="AM8" s="333">
        <v>0</v>
      </c>
      <c r="AN8" s="318">
        <v>0</v>
      </c>
      <c r="AO8" s="318">
        <v>0</v>
      </c>
      <c r="AP8" s="332" t="s">
        <v>1214</v>
      </c>
      <c r="AQ8" s="335">
        <v>4</v>
      </c>
      <c r="AR8" s="337">
        <v>1</v>
      </c>
      <c r="AS8" s="337">
        <v>1</v>
      </c>
      <c r="AT8" s="337">
        <v>1</v>
      </c>
      <c r="AU8" s="337">
        <v>1</v>
      </c>
      <c r="AV8" s="337">
        <v>14</v>
      </c>
      <c r="AW8" s="337">
        <v>200</v>
      </c>
      <c r="AX8" s="337">
        <v>60</v>
      </c>
      <c r="AY8" s="337">
        <v>2</v>
      </c>
      <c r="AZ8" s="336">
        <v>1</v>
      </c>
      <c r="BA8" s="336">
        <v>1</v>
      </c>
      <c r="BB8" s="1119" t="s">
        <v>1085</v>
      </c>
      <c r="BC8" s="338">
        <v>0</v>
      </c>
      <c r="BD8" s="337">
        <v>4</v>
      </c>
      <c r="BE8" s="337">
        <v>4</v>
      </c>
      <c r="BF8" s="337">
        <v>4</v>
      </c>
      <c r="BG8" s="339" t="s">
        <v>60</v>
      </c>
      <c r="BH8" s="1127" t="s">
        <v>1206</v>
      </c>
      <c r="BK8" s="337"/>
      <c r="BL8" s="337"/>
      <c r="BM8" s="337"/>
      <c r="BN8" s="341"/>
      <c r="BO8" s="337"/>
      <c r="BP8" s="337"/>
      <c r="BQ8" s="341"/>
      <c r="BR8" s="342"/>
      <c r="BS8" s="343"/>
      <c r="BT8" s="337"/>
      <c r="BU8" s="337"/>
      <c r="BV8" s="337"/>
      <c r="BW8" s="341"/>
      <c r="BX8" s="341"/>
      <c r="BY8" s="343"/>
    </row>
    <row r="9" spans="1:77" s="340" customFormat="1" ht="19.5" customHeight="1">
      <c r="A9" s="315">
        <v>11</v>
      </c>
      <c r="B9" s="315" t="s">
        <v>1113</v>
      </c>
      <c r="C9" s="337">
        <v>4</v>
      </c>
      <c r="D9" s="341" t="s">
        <v>1209</v>
      </c>
      <c r="E9" s="337" t="s">
        <v>1091</v>
      </c>
      <c r="F9" s="337">
        <v>1</v>
      </c>
      <c r="G9" s="1123">
        <v>280</v>
      </c>
      <c r="H9" s="342">
        <v>36219</v>
      </c>
      <c r="I9" s="1124">
        <v>110000</v>
      </c>
      <c r="J9" s="337">
        <v>0</v>
      </c>
      <c r="K9" s="337">
        <v>100</v>
      </c>
      <c r="L9" s="337" t="s">
        <v>212</v>
      </c>
      <c r="M9" s="337">
        <v>31</v>
      </c>
      <c r="N9" s="337">
        <v>2</v>
      </c>
      <c r="O9" s="337">
        <v>4</v>
      </c>
      <c r="P9" s="1125">
        <v>3.5</v>
      </c>
      <c r="Q9" s="1125">
        <v>0</v>
      </c>
      <c r="R9" s="319">
        <v>0</v>
      </c>
      <c r="S9" s="319">
        <v>1</v>
      </c>
      <c r="T9" s="337">
        <v>1</v>
      </c>
      <c r="U9" s="327">
        <v>2</v>
      </c>
      <c r="V9" s="337"/>
      <c r="W9" s="327">
        <v>0</v>
      </c>
      <c r="X9" s="319">
        <v>1</v>
      </c>
      <c r="Y9" s="1128" t="s">
        <v>574</v>
      </c>
      <c r="Z9" s="329">
        <v>1</v>
      </c>
      <c r="AA9" s="330">
        <v>10.35</v>
      </c>
      <c r="AB9" s="1125">
        <v>13.8</v>
      </c>
      <c r="AC9" s="1125">
        <v>12.5</v>
      </c>
      <c r="AD9" s="319">
        <v>1</v>
      </c>
      <c r="AE9" s="331">
        <v>1</v>
      </c>
      <c r="AF9" s="332" t="s">
        <v>1212</v>
      </c>
      <c r="AG9" s="1126">
        <v>5500</v>
      </c>
      <c r="AH9" s="341" t="s">
        <v>1094</v>
      </c>
      <c r="AI9" s="1126">
        <v>1000</v>
      </c>
      <c r="AJ9" s="341" t="s">
        <v>1093</v>
      </c>
      <c r="AK9" s="1126">
        <v>200</v>
      </c>
      <c r="AL9" s="334" t="s">
        <v>991</v>
      </c>
      <c r="AM9" s="333">
        <v>0</v>
      </c>
      <c r="AN9" s="318">
        <v>0</v>
      </c>
      <c r="AO9" s="318">
        <v>0</v>
      </c>
      <c r="AP9" s="332" t="s">
        <v>1214</v>
      </c>
      <c r="AQ9" s="335">
        <v>4</v>
      </c>
      <c r="AR9" s="337">
        <v>1</v>
      </c>
      <c r="AS9" s="337">
        <v>1</v>
      </c>
      <c r="AT9" s="337">
        <v>1</v>
      </c>
      <c r="AU9" s="337">
        <v>1</v>
      </c>
      <c r="AV9" s="337">
        <v>14</v>
      </c>
      <c r="AW9" s="337">
        <v>200</v>
      </c>
      <c r="AX9" s="337">
        <v>60</v>
      </c>
      <c r="AY9" s="337">
        <v>2</v>
      </c>
      <c r="AZ9" s="336">
        <v>1</v>
      </c>
      <c r="BA9" s="336">
        <v>1</v>
      </c>
      <c r="BB9" s="1119" t="s">
        <v>1085</v>
      </c>
      <c r="BC9" s="338">
        <v>0</v>
      </c>
      <c r="BD9" s="337">
        <v>4</v>
      </c>
      <c r="BE9" s="337">
        <v>5</v>
      </c>
      <c r="BF9" s="337">
        <v>5</v>
      </c>
      <c r="BG9" s="339" t="s">
        <v>669</v>
      </c>
      <c r="BH9" s="1127" t="s">
        <v>1210</v>
      </c>
      <c r="BK9" s="337"/>
      <c r="BL9" s="337"/>
      <c r="BM9" s="337"/>
      <c r="BN9" s="341"/>
      <c r="BO9" s="337"/>
      <c r="BP9" s="337"/>
      <c r="BQ9" s="341"/>
      <c r="BR9" s="342"/>
      <c r="BS9" s="343"/>
      <c r="BT9" s="337"/>
      <c r="BU9" s="337"/>
      <c r="BV9" s="337"/>
      <c r="BW9" s="341"/>
      <c r="BX9" s="341"/>
      <c r="BY9" s="343"/>
    </row>
    <row r="10" spans="1:77" s="1904" customFormat="1" ht="19.5" customHeight="1">
      <c r="A10" s="744">
        <v>12</v>
      </c>
      <c r="B10" s="744" t="s">
        <v>1113</v>
      </c>
      <c r="C10" s="744">
        <v>5</v>
      </c>
      <c r="D10" s="1888" t="s">
        <v>1207</v>
      </c>
      <c r="E10" s="744" t="s">
        <v>1091</v>
      </c>
      <c r="F10" s="744">
        <v>2</v>
      </c>
      <c r="G10" s="1889">
        <v>70</v>
      </c>
      <c r="H10" s="1890">
        <v>35942</v>
      </c>
      <c r="I10" s="1891">
        <v>84400</v>
      </c>
      <c r="J10" s="744">
        <v>0</v>
      </c>
      <c r="K10" s="744">
        <v>100</v>
      </c>
      <c r="L10" s="744" t="s">
        <v>212</v>
      </c>
      <c r="M10" s="744">
        <v>31</v>
      </c>
      <c r="N10" s="744">
        <v>2</v>
      </c>
      <c r="O10" s="744">
        <v>1</v>
      </c>
      <c r="P10" s="1892">
        <v>4</v>
      </c>
      <c r="Q10" s="1892">
        <v>0</v>
      </c>
      <c r="R10" s="1893">
        <v>0</v>
      </c>
      <c r="S10" s="1893">
        <v>1</v>
      </c>
      <c r="T10" s="744">
        <v>2</v>
      </c>
      <c r="U10" s="1894">
        <v>4</v>
      </c>
      <c r="V10" s="744"/>
      <c r="W10" s="1894">
        <v>0</v>
      </c>
      <c r="X10" s="1893">
        <v>1</v>
      </c>
      <c r="Y10" s="1895" t="s">
        <v>574</v>
      </c>
      <c r="Z10" s="1896">
        <v>1</v>
      </c>
      <c r="AA10" s="1897">
        <v>0</v>
      </c>
      <c r="AB10" s="1892">
        <v>5</v>
      </c>
      <c r="AC10" s="1892">
        <v>8</v>
      </c>
      <c r="AD10" s="1893">
        <v>3</v>
      </c>
      <c r="AE10" s="1898">
        <v>1</v>
      </c>
      <c r="AF10" s="1899" t="s">
        <v>1212</v>
      </c>
      <c r="AG10" s="1900">
        <v>5800</v>
      </c>
      <c r="AH10" s="1888" t="s">
        <v>1094</v>
      </c>
      <c r="AI10" s="1900">
        <v>400</v>
      </c>
      <c r="AJ10" s="1888" t="s">
        <v>1093</v>
      </c>
      <c r="AK10" s="1900">
        <v>1000</v>
      </c>
      <c r="AL10" s="1901" t="s">
        <v>991</v>
      </c>
      <c r="AM10" s="1902">
        <v>0</v>
      </c>
      <c r="AN10" s="1893">
        <v>0</v>
      </c>
      <c r="AO10" s="1893">
        <v>0</v>
      </c>
      <c r="AP10" s="1899" t="s">
        <v>990</v>
      </c>
      <c r="AQ10" s="744">
        <v>4</v>
      </c>
      <c r="AR10" s="744">
        <v>1</v>
      </c>
      <c r="AS10" s="744">
        <v>1</v>
      </c>
      <c r="AT10" s="744">
        <v>1</v>
      </c>
      <c r="AU10" s="744">
        <v>1</v>
      </c>
      <c r="AV10" s="744">
        <v>4</v>
      </c>
      <c r="AW10" s="744">
        <v>200</v>
      </c>
      <c r="AX10" s="744">
        <v>60</v>
      </c>
      <c r="AY10" s="744">
        <v>2</v>
      </c>
      <c r="AZ10" s="1893">
        <v>1</v>
      </c>
      <c r="BA10" s="1893">
        <v>1</v>
      </c>
      <c r="BB10" s="748" t="s">
        <v>1085</v>
      </c>
      <c r="BC10" s="1903">
        <v>0</v>
      </c>
      <c r="BD10" s="744">
        <v>4</v>
      </c>
      <c r="BE10" s="744">
        <v>4</v>
      </c>
      <c r="BF10" s="744">
        <v>4</v>
      </c>
      <c r="BG10" s="1888" t="s">
        <v>669</v>
      </c>
      <c r="BH10" s="1888" t="s">
        <v>1208</v>
      </c>
      <c r="BK10" s="744"/>
      <c r="BL10" s="744"/>
      <c r="BM10" s="744"/>
      <c r="BN10" s="1888"/>
      <c r="BO10" s="744"/>
      <c r="BP10" s="744"/>
      <c r="BQ10" s="1888"/>
      <c r="BR10" s="1890"/>
      <c r="BS10" s="1905"/>
      <c r="BT10" s="744"/>
      <c r="BU10" s="744"/>
      <c r="BV10" s="744"/>
      <c r="BW10" s="1888"/>
      <c r="BX10" s="1888"/>
      <c r="BY10" s="1905"/>
    </row>
    <row r="11" spans="1:77" s="1904" customFormat="1" ht="19.5" customHeight="1">
      <c r="A11" s="744">
        <v>13</v>
      </c>
      <c r="B11" s="744" t="s">
        <v>1113</v>
      </c>
      <c r="C11" s="744">
        <v>6</v>
      </c>
      <c r="D11" s="1888" t="s">
        <v>1207</v>
      </c>
      <c r="E11" s="744" t="s">
        <v>1091</v>
      </c>
      <c r="F11" s="744">
        <v>2</v>
      </c>
      <c r="G11" s="1889">
        <v>70</v>
      </c>
      <c r="H11" s="1890">
        <v>35942</v>
      </c>
      <c r="I11" s="1891">
        <v>84400</v>
      </c>
      <c r="J11" s="744">
        <v>0</v>
      </c>
      <c r="K11" s="744">
        <v>100</v>
      </c>
      <c r="L11" s="744" t="s">
        <v>212</v>
      </c>
      <c r="M11" s="744">
        <v>31</v>
      </c>
      <c r="N11" s="744">
        <v>2</v>
      </c>
      <c r="O11" s="744">
        <v>1</v>
      </c>
      <c r="P11" s="1892">
        <v>4</v>
      </c>
      <c r="Q11" s="1892">
        <v>0</v>
      </c>
      <c r="R11" s="1893">
        <v>0</v>
      </c>
      <c r="S11" s="1893">
        <v>1</v>
      </c>
      <c r="T11" s="744">
        <v>2</v>
      </c>
      <c r="U11" s="1894">
        <v>4</v>
      </c>
      <c r="V11" s="744"/>
      <c r="W11" s="1894">
        <v>0</v>
      </c>
      <c r="X11" s="1893">
        <v>1</v>
      </c>
      <c r="Y11" s="1895" t="s">
        <v>574</v>
      </c>
      <c r="Z11" s="1896">
        <v>1</v>
      </c>
      <c r="AA11" s="1897">
        <v>0</v>
      </c>
      <c r="AB11" s="1892">
        <v>5</v>
      </c>
      <c r="AC11" s="1892">
        <v>8</v>
      </c>
      <c r="AD11" s="1893">
        <v>3</v>
      </c>
      <c r="AE11" s="1898">
        <v>1</v>
      </c>
      <c r="AF11" s="1899" t="s">
        <v>1212</v>
      </c>
      <c r="AG11" s="1900">
        <v>5800</v>
      </c>
      <c r="AH11" s="1888" t="s">
        <v>1094</v>
      </c>
      <c r="AI11" s="1900">
        <v>400</v>
      </c>
      <c r="AJ11" s="1888" t="s">
        <v>1093</v>
      </c>
      <c r="AK11" s="1900">
        <v>1000</v>
      </c>
      <c r="AL11" s="1901" t="s">
        <v>991</v>
      </c>
      <c r="AM11" s="1902">
        <v>0</v>
      </c>
      <c r="AN11" s="1893">
        <v>0</v>
      </c>
      <c r="AO11" s="1893">
        <v>0</v>
      </c>
      <c r="AP11" s="1899" t="s">
        <v>990</v>
      </c>
      <c r="AQ11" s="744">
        <v>4</v>
      </c>
      <c r="AR11" s="744">
        <v>1</v>
      </c>
      <c r="AS11" s="744">
        <v>1</v>
      </c>
      <c r="AT11" s="744">
        <v>1</v>
      </c>
      <c r="AU11" s="744">
        <v>1</v>
      </c>
      <c r="AV11" s="744">
        <v>4</v>
      </c>
      <c r="AW11" s="744">
        <v>200</v>
      </c>
      <c r="AX11" s="744">
        <v>60</v>
      </c>
      <c r="AY11" s="744">
        <v>2</v>
      </c>
      <c r="AZ11" s="1893">
        <v>1</v>
      </c>
      <c r="BA11" s="1893">
        <v>1</v>
      </c>
      <c r="BB11" s="748" t="s">
        <v>1085</v>
      </c>
      <c r="BC11" s="1903">
        <v>0</v>
      </c>
      <c r="BD11" s="744">
        <v>4</v>
      </c>
      <c r="BE11" s="744">
        <v>4</v>
      </c>
      <c r="BF11" s="744">
        <v>4</v>
      </c>
      <c r="BG11" s="1888" t="s">
        <v>669</v>
      </c>
      <c r="BH11" s="1888" t="s">
        <v>1208</v>
      </c>
      <c r="BK11" s="744"/>
      <c r="BL11" s="744"/>
      <c r="BM11" s="744"/>
      <c r="BN11" s="1888"/>
      <c r="BO11" s="744"/>
      <c r="BP11" s="744"/>
      <c r="BQ11" s="1888"/>
      <c r="BR11" s="1890"/>
      <c r="BS11" s="1905"/>
      <c r="BT11" s="744"/>
      <c r="BU11" s="744"/>
      <c r="BV11" s="744"/>
      <c r="BW11" s="1888"/>
      <c r="BX11" s="1888"/>
      <c r="BY11" s="1905"/>
    </row>
    <row r="12" spans="1:77" s="340" customFormat="1" ht="19.5" customHeight="1">
      <c r="A12" s="315">
        <v>14</v>
      </c>
      <c r="B12" s="315" t="s">
        <v>1113</v>
      </c>
      <c r="C12" s="337">
        <v>7</v>
      </c>
      <c r="D12" s="341"/>
      <c r="E12" s="337"/>
      <c r="F12" s="337"/>
      <c r="G12" s="1123"/>
      <c r="H12" s="342"/>
      <c r="I12" s="1124"/>
      <c r="J12" s="337"/>
      <c r="K12" s="337"/>
      <c r="L12" s="337"/>
      <c r="M12" s="337"/>
      <c r="N12" s="337"/>
      <c r="O12" s="337"/>
      <c r="P12" s="1125"/>
      <c r="Q12" s="1125"/>
      <c r="R12" s="319"/>
      <c r="S12" s="319"/>
      <c r="T12" s="337"/>
      <c r="U12" s="327"/>
      <c r="V12" s="337"/>
      <c r="W12" s="327"/>
      <c r="X12" s="319"/>
      <c r="Y12" s="1128"/>
      <c r="Z12" s="329"/>
      <c r="AA12" s="330"/>
      <c r="AB12" s="1125"/>
      <c r="AC12" s="1125"/>
      <c r="AD12" s="319"/>
      <c r="AE12" s="331"/>
      <c r="AF12" s="332"/>
      <c r="AG12" s="1126"/>
      <c r="AH12" s="341"/>
      <c r="AI12" s="1126"/>
      <c r="AJ12" s="341"/>
      <c r="AK12" s="1126"/>
      <c r="AL12" s="341"/>
      <c r="AM12" s="1126"/>
      <c r="AN12" s="318"/>
      <c r="AO12" s="318"/>
      <c r="AP12" s="332"/>
      <c r="AQ12" s="335"/>
      <c r="AR12" s="337"/>
      <c r="AS12" s="337"/>
      <c r="AT12" s="337"/>
      <c r="AU12" s="337"/>
      <c r="AV12" s="337"/>
      <c r="AW12" s="337"/>
      <c r="AX12" s="337"/>
      <c r="AY12" s="337"/>
      <c r="AZ12" s="336">
        <v>1</v>
      </c>
      <c r="BA12" s="336">
        <v>1</v>
      </c>
      <c r="BB12" s="1119"/>
      <c r="BC12" s="338"/>
      <c r="BD12" s="337"/>
      <c r="BE12" s="337"/>
      <c r="BF12" s="337"/>
      <c r="BG12" s="339" t="s">
        <v>223</v>
      </c>
      <c r="BH12" s="1127"/>
      <c r="BK12" s="337"/>
      <c r="BL12" s="337"/>
      <c r="BM12" s="337"/>
      <c r="BN12" s="341"/>
      <c r="BO12" s="337"/>
      <c r="BP12" s="337"/>
      <c r="BQ12" s="341"/>
      <c r="BR12" s="342"/>
      <c r="BS12" s="343"/>
      <c r="BT12" s="337"/>
      <c r="BU12" s="337"/>
      <c r="BV12" s="337"/>
      <c r="BW12" s="341"/>
      <c r="BX12" s="341"/>
      <c r="BY12" s="343"/>
    </row>
    <row r="13" spans="1:77" s="340" customFormat="1" ht="19.5" customHeight="1">
      <c r="A13" s="315">
        <v>15</v>
      </c>
      <c r="B13" s="315" t="s">
        <v>1113</v>
      </c>
      <c r="C13" s="337">
        <v>8</v>
      </c>
      <c r="D13" s="341"/>
      <c r="E13" s="337"/>
      <c r="F13" s="337"/>
      <c r="G13" s="1123"/>
      <c r="H13" s="342"/>
      <c r="I13" s="1124"/>
      <c r="J13" s="337"/>
      <c r="K13" s="337"/>
      <c r="L13" s="337"/>
      <c r="M13" s="337"/>
      <c r="N13" s="337"/>
      <c r="O13" s="337"/>
      <c r="P13" s="1125"/>
      <c r="Q13" s="1125"/>
      <c r="R13" s="319"/>
      <c r="S13" s="319"/>
      <c r="T13" s="337"/>
      <c r="U13" s="327"/>
      <c r="V13" s="337"/>
      <c r="W13" s="327"/>
      <c r="X13" s="319"/>
      <c r="Y13" s="1128"/>
      <c r="Z13" s="329"/>
      <c r="AA13" s="330"/>
      <c r="AB13" s="1125"/>
      <c r="AC13" s="1125"/>
      <c r="AD13" s="319"/>
      <c r="AE13" s="331"/>
      <c r="AF13" s="332"/>
      <c r="AG13" s="1126"/>
      <c r="AH13" s="341"/>
      <c r="AI13" s="1126"/>
      <c r="AJ13" s="341"/>
      <c r="AK13" s="1126"/>
      <c r="AL13" s="341"/>
      <c r="AM13" s="1126"/>
      <c r="AN13" s="318"/>
      <c r="AO13" s="318"/>
      <c r="AP13" s="332"/>
      <c r="AQ13" s="335"/>
      <c r="AR13" s="337"/>
      <c r="AS13" s="337"/>
      <c r="AT13" s="337"/>
      <c r="AU13" s="337"/>
      <c r="AV13" s="337"/>
      <c r="AW13" s="337"/>
      <c r="AX13" s="337"/>
      <c r="AY13" s="337"/>
      <c r="AZ13" s="336">
        <v>1</v>
      </c>
      <c r="BA13" s="336">
        <v>1</v>
      </c>
      <c r="BB13" s="1119"/>
      <c r="BC13" s="338"/>
      <c r="BD13" s="337"/>
      <c r="BE13" s="337"/>
      <c r="BF13" s="337"/>
      <c r="BG13" s="339" t="s">
        <v>223</v>
      </c>
      <c r="BH13" s="1127"/>
      <c r="BK13" s="337"/>
      <c r="BL13" s="337"/>
      <c r="BM13" s="337"/>
      <c r="BN13" s="341"/>
      <c r="BO13" s="337"/>
      <c r="BP13" s="337"/>
      <c r="BQ13" s="341"/>
      <c r="BR13" s="342"/>
      <c r="BS13" s="343"/>
      <c r="BT13" s="337"/>
      <c r="BU13" s="337"/>
      <c r="BV13" s="337"/>
      <c r="BW13" s="341"/>
      <c r="BX13" s="341"/>
      <c r="BY13" s="343"/>
    </row>
    <row r="14" spans="1:77" s="340" customFormat="1" ht="19.5" customHeight="1">
      <c r="A14" s="315">
        <v>16</v>
      </c>
      <c r="B14" s="315" t="s">
        <v>1113</v>
      </c>
      <c r="C14" s="337">
        <v>9</v>
      </c>
      <c r="D14" s="341"/>
      <c r="E14" s="337"/>
      <c r="F14" s="337"/>
      <c r="G14" s="1123"/>
      <c r="H14" s="342"/>
      <c r="I14" s="1124"/>
      <c r="J14" s="337"/>
      <c r="K14" s="337"/>
      <c r="L14" s="337"/>
      <c r="M14" s="337"/>
      <c r="N14" s="337"/>
      <c r="O14" s="337"/>
      <c r="P14" s="1125"/>
      <c r="Q14" s="1125"/>
      <c r="R14" s="319"/>
      <c r="S14" s="319"/>
      <c r="T14" s="337"/>
      <c r="U14" s="327"/>
      <c r="V14" s="337"/>
      <c r="W14" s="327"/>
      <c r="X14" s="319"/>
      <c r="Y14" s="1128"/>
      <c r="Z14" s="329"/>
      <c r="AA14" s="330"/>
      <c r="AB14" s="1125"/>
      <c r="AC14" s="1125"/>
      <c r="AD14" s="319"/>
      <c r="AE14" s="331"/>
      <c r="AF14" s="332"/>
      <c r="AG14" s="1126"/>
      <c r="AH14" s="341"/>
      <c r="AI14" s="1126"/>
      <c r="AJ14" s="341"/>
      <c r="AK14" s="1126"/>
      <c r="AL14" s="341"/>
      <c r="AM14" s="1126"/>
      <c r="AN14" s="318"/>
      <c r="AO14" s="318"/>
      <c r="AP14" s="332"/>
      <c r="AQ14" s="335"/>
      <c r="AR14" s="337"/>
      <c r="AS14" s="337"/>
      <c r="AT14" s="337"/>
      <c r="AU14" s="337"/>
      <c r="AV14" s="337"/>
      <c r="AW14" s="337"/>
      <c r="AX14" s="337"/>
      <c r="AY14" s="337"/>
      <c r="AZ14" s="336">
        <v>1</v>
      </c>
      <c r="BA14" s="336">
        <v>1</v>
      </c>
      <c r="BB14" s="1119"/>
      <c r="BC14" s="338"/>
      <c r="BD14" s="337"/>
      <c r="BE14" s="337"/>
      <c r="BF14" s="337"/>
      <c r="BG14" s="339" t="s">
        <v>223</v>
      </c>
      <c r="BH14" s="1127"/>
      <c r="BK14" s="337"/>
      <c r="BL14" s="337"/>
      <c r="BM14" s="337"/>
      <c r="BN14" s="341"/>
      <c r="BO14" s="337"/>
      <c r="BP14" s="337"/>
      <c r="BQ14" s="341"/>
      <c r="BR14" s="342"/>
      <c r="BS14" s="343"/>
      <c r="BT14" s="337"/>
      <c r="BU14" s="337"/>
      <c r="BV14" s="337"/>
      <c r="BW14" s="341"/>
      <c r="BX14" s="341"/>
      <c r="BY14" s="343"/>
    </row>
    <row r="15" spans="1:77" s="340" customFormat="1" ht="19.5" customHeight="1">
      <c r="A15" s="315">
        <v>17</v>
      </c>
      <c r="B15" s="315" t="s">
        <v>1113</v>
      </c>
      <c r="C15" s="337">
        <v>10</v>
      </c>
      <c r="D15" s="341"/>
      <c r="E15" s="337"/>
      <c r="F15" s="337"/>
      <c r="G15" s="1123"/>
      <c r="H15" s="342"/>
      <c r="I15" s="1124"/>
      <c r="J15" s="337"/>
      <c r="K15" s="337"/>
      <c r="L15" s="337"/>
      <c r="M15" s="337"/>
      <c r="N15" s="337"/>
      <c r="O15" s="337"/>
      <c r="P15" s="1125"/>
      <c r="Q15" s="1125"/>
      <c r="R15" s="319"/>
      <c r="S15" s="319"/>
      <c r="T15" s="337"/>
      <c r="U15" s="327"/>
      <c r="V15" s="337"/>
      <c r="W15" s="327"/>
      <c r="X15" s="319"/>
      <c r="Y15" s="1128"/>
      <c r="Z15" s="329"/>
      <c r="AA15" s="330"/>
      <c r="AB15" s="1125"/>
      <c r="AC15" s="1125"/>
      <c r="AD15" s="319"/>
      <c r="AE15" s="331"/>
      <c r="AF15" s="332"/>
      <c r="AG15" s="1126"/>
      <c r="AH15" s="341"/>
      <c r="AI15" s="1126"/>
      <c r="AJ15" s="341"/>
      <c r="AK15" s="1126"/>
      <c r="AL15" s="341"/>
      <c r="AM15" s="1126"/>
      <c r="AN15" s="318"/>
      <c r="AO15" s="318"/>
      <c r="AP15" s="332"/>
      <c r="AQ15" s="335"/>
      <c r="AR15" s="337"/>
      <c r="AS15" s="337"/>
      <c r="AT15" s="337"/>
      <c r="AU15" s="337"/>
      <c r="AV15" s="337"/>
      <c r="AW15" s="337"/>
      <c r="AX15" s="337"/>
      <c r="AY15" s="337"/>
      <c r="AZ15" s="336">
        <v>1</v>
      </c>
      <c r="BA15" s="336">
        <v>1</v>
      </c>
      <c r="BB15" s="1119"/>
      <c r="BC15" s="338"/>
      <c r="BD15" s="337"/>
      <c r="BE15" s="337"/>
      <c r="BF15" s="337"/>
      <c r="BG15" s="339" t="s">
        <v>223</v>
      </c>
      <c r="BH15" s="1127"/>
      <c r="BK15" s="337"/>
      <c r="BL15" s="337"/>
      <c r="BM15" s="337"/>
      <c r="BN15" s="341"/>
      <c r="BO15" s="337"/>
      <c r="BP15" s="337"/>
      <c r="BQ15" s="341"/>
      <c r="BR15" s="342"/>
      <c r="BS15" s="343"/>
      <c r="BT15" s="337"/>
      <c r="BU15" s="337"/>
      <c r="BV15" s="337"/>
      <c r="BW15" s="341"/>
      <c r="BX15" s="341"/>
      <c r="BY15" s="343"/>
    </row>
    <row r="16" spans="1:77" s="340" customFormat="1" ht="19.5" customHeight="1">
      <c r="A16" s="315">
        <v>18</v>
      </c>
      <c r="B16" s="315" t="s">
        <v>1113</v>
      </c>
      <c r="C16" s="337">
        <v>11</v>
      </c>
      <c r="D16" s="341"/>
      <c r="E16" s="337"/>
      <c r="F16" s="337"/>
      <c r="G16" s="1123"/>
      <c r="H16" s="342"/>
      <c r="I16" s="1124"/>
      <c r="J16" s="337"/>
      <c r="K16" s="337"/>
      <c r="L16" s="337"/>
      <c r="M16" s="337"/>
      <c r="N16" s="337"/>
      <c r="O16" s="337"/>
      <c r="P16" s="1125"/>
      <c r="Q16" s="1125"/>
      <c r="R16" s="319"/>
      <c r="S16" s="319"/>
      <c r="T16" s="337"/>
      <c r="U16" s="327"/>
      <c r="V16" s="337"/>
      <c r="W16" s="327"/>
      <c r="X16" s="319"/>
      <c r="Y16" s="1128"/>
      <c r="Z16" s="329"/>
      <c r="AA16" s="330"/>
      <c r="AB16" s="1125"/>
      <c r="AC16" s="1125"/>
      <c r="AD16" s="319"/>
      <c r="AE16" s="331"/>
      <c r="AF16" s="332"/>
      <c r="AG16" s="1126"/>
      <c r="AH16" s="341"/>
      <c r="AI16" s="1126"/>
      <c r="AJ16" s="341"/>
      <c r="AK16" s="1126"/>
      <c r="AL16" s="341"/>
      <c r="AM16" s="1126"/>
      <c r="AN16" s="318"/>
      <c r="AO16" s="318"/>
      <c r="AP16" s="332"/>
      <c r="AQ16" s="335"/>
      <c r="AR16" s="337"/>
      <c r="AS16" s="337"/>
      <c r="AT16" s="337"/>
      <c r="AU16" s="337"/>
      <c r="AV16" s="337"/>
      <c r="AW16" s="337"/>
      <c r="AX16" s="337"/>
      <c r="AY16" s="337"/>
      <c r="AZ16" s="336">
        <v>1</v>
      </c>
      <c r="BA16" s="336">
        <v>1</v>
      </c>
      <c r="BB16" s="1119"/>
      <c r="BC16" s="338"/>
      <c r="BD16" s="337"/>
      <c r="BE16" s="337"/>
      <c r="BF16" s="337"/>
      <c r="BG16" s="339" t="s">
        <v>223</v>
      </c>
      <c r="BH16" s="1127"/>
      <c r="BK16" s="337"/>
      <c r="BL16" s="337"/>
      <c r="BM16" s="337"/>
      <c r="BN16" s="341"/>
      <c r="BO16" s="337"/>
      <c r="BP16" s="337"/>
      <c r="BQ16" s="341"/>
      <c r="BR16" s="342"/>
      <c r="BS16" s="343"/>
      <c r="BT16" s="337"/>
      <c r="BU16" s="337"/>
      <c r="BV16" s="337"/>
      <c r="BW16" s="341"/>
      <c r="BX16" s="341"/>
      <c r="BY16" s="343"/>
    </row>
    <row r="17" spans="1:77" s="340" customFormat="1" ht="19.5" customHeight="1">
      <c r="A17" s="315">
        <v>19</v>
      </c>
      <c r="B17" s="315" t="s">
        <v>1113</v>
      </c>
      <c r="C17" s="337">
        <v>12</v>
      </c>
      <c r="D17" s="341"/>
      <c r="E17" s="337"/>
      <c r="F17" s="337"/>
      <c r="G17" s="1123"/>
      <c r="H17" s="342"/>
      <c r="I17" s="1124"/>
      <c r="J17" s="337"/>
      <c r="K17" s="337"/>
      <c r="L17" s="337"/>
      <c r="M17" s="337"/>
      <c r="N17" s="337"/>
      <c r="O17" s="337"/>
      <c r="P17" s="1125"/>
      <c r="Q17" s="1125"/>
      <c r="R17" s="319"/>
      <c r="S17" s="319"/>
      <c r="T17" s="337"/>
      <c r="U17" s="327"/>
      <c r="V17" s="337"/>
      <c r="W17" s="327"/>
      <c r="X17" s="319"/>
      <c r="Y17" s="1128"/>
      <c r="Z17" s="329"/>
      <c r="AA17" s="330"/>
      <c r="AB17" s="1125"/>
      <c r="AC17" s="1125"/>
      <c r="AD17" s="319"/>
      <c r="AE17" s="331"/>
      <c r="AF17" s="332"/>
      <c r="AG17" s="1126"/>
      <c r="AH17" s="341"/>
      <c r="AI17" s="1126"/>
      <c r="AJ17" s="341"/>
      <c r="AK17" s="1126"/>
      <c r="AL17" s="341"/>
      <c r="AM17" s="1126"/>
      <c r="AN17" s="318"/>
      <c r="AO17" s="318"/>
      <c r="AP17" s="332"/>
      <c r="AQ17" s="335"/>
      <c r="AR17" s="337"/>
      <c r="AS17" s="337"/>
      <c r="AT17" s="337"/>
      <c r="AU17" s="337"/>
      <c r="AV17" s="337"/>
      <c r="AW17" s="337"/>
      <c r="AX17" s="337"/>
      <c r="AY17" s="337"/>
      <c r="AZ17" s="336">
        <v>1</v>
      </c>
      <c r="BA17" s="336">
        <v>1</v>
      </c>
      <c r="BB17" s="1119"/>
      <c r="BC17" s="338"/>
      <c r="BD17" s="337"/>
      <c r="BE17" s="337"/>
      <c r="BF17" s="337"/>
      <c r="BG17" s="339" t="s">
        <v>223</v>
      </c>
      <c r="BH17" s="1127"/>
      <c r="BK17" s="337"/>
      <c r="BL17" s="337"/>
      <c r="BM17" s="337"/>
      <c r="BN17" s="341"/>
      <c r="BO17" s="337"/>
      <c r="BP17" s="337"/>
      <c r="BQ17" s="341"/>
      <c r="BR17" s="342"/>
      <c r="BS17" s="343"/>
      <c r="BT17" s="337"/>
      <c r="BU17" s="337"/>
      <c r="BV17" s="337"/>
      <c r="BW17" s="341"/>
      <c r="BX17" s="341"/>
      <c r="BY17" s="343"/>
    </row>
    <row r="18" spans="1:77" s="340" customFormat="1" ht="19.5" customHeight="1">
      <c r="A18" s="315">
        <v>20</v>
      </c>
      <c r="B18" s="315" t="s">
        <v>1113</v>
      </c>
      <c r="C18" s="337">
        <v>13</v>
      </c>
      <c r="D18" s="341"/>
      <c r="E18" s="337"/>
      <c r="F18" s="337"/>
      <c r="G18" s="1123"/>
      <c r="H18" s="342"/>
      <c r="I18" s="1124"/>
      <c r="J18" s="337"/>
      <c r="K18" s="337"/>
      <c r="L18" s="337"/>
      <c r="M18" s="337"/>
      <c r="N18" s="337"/>
      <c r="O18" s="337"/>
      <c r="P18" s="1125"/>
      <c r="Q18" s="1125"/>
      <c r="R18" s="319"/>
      <c r="S18" s="319"/>
      <c r="T18" s="337"/>
      <c r="U18" s="327"/>
      <c r="V18" s="337"/>
      <c r="W18" s="327"/>
      <c r="X18" s="319"/>
      <c r="Y18" s="1128"/>
      <c r="Z18" s="329"/>
      <c r="AA18" s="330"/>
      <c r="AB18" s="1125"/>
      <c r="AC18" s="1125"/>
      <c r="AD18" s="319"/>
      <c r="AE18" s="331"/>
      <c r="AF18" s="332"/>
      <c r="AG18" s="1126"/>
      <c r="AH18" s="341"/>
      <c r="AI18" s="1126"/>
      <c r="AJ18" s="341"/>
      <c r="AK18" s="1126"/>
      <c r="AL18" s="341"/>
      <c r="AM18" s="1126"/>
      <c r="AN18" s="318"/>
      <c r="AO18" s="318"/>
      <c r="AP18" s="332"/>
      <c r="AQ18" s="335"/>
      <c r="AR18" s="337"/>
      <c r="AS18" s="337"/>
      <c r="AT18" s="337"/>
      <c r="AU18" s="337"/>
      <c r="AV18" s="337"/>
      <c r="AW18" s="337"/>
      <c r="AX18" s="337"/>
      <c r="AY18" s="337"/>
      <c r="AZ18" s="336">
        <v>1</v>
      </c>
      <c r="BA18" s="336">
        <v>1</v>
      </c>
      <c r="BB18" s="1119"/>
      <c r="BC18" s="338"/>
      <c r="BD18" s="337"/>
      <c r="BE18" s="337"/>
      <c r="BF18" s="337"/>
      <c r="BG18" s="339" t="s">
        <v>223</v>
      </c>
      <c r="BH18" s="1127"/>
      <c r="BK18" s="337"/>
      <c r="BL18" s="337"/>
      <c r="BM18" s="337"/>
      <c r="BN18" s="341"/>
      <c r="BO18" s="337"/>
      <c r="BP18" s="337"/>
      <c r="BQ18" s="341"/>
      <c r="BR18" s="342"/>
      <c r="BS18" s="343"/>
      <c r="BT18" s="337"/>
      <c r="BU18" s="337"/>
      <c r="BV18" s="337"/>
      <c r="BW18" s="341"/>
      <c r="BX18" s="341"/>
      <c r="BY18" s="343"/>
    </row>
    <row r="19" spans="1:77" s="340" customFormat="1" ht="19.5" customHeight="1">
      <c r="A19" s="315">
        <v>21</v>
      </c>
      <c r="B19" s="315" t="s">
        <v>1113</v>
      </c>
      <c r="C19" s="337">
        <v>14</v>
      </c>
      <c r="D19" s="341"/>
      <c r="E19" s="337"/>
      <c r="F19" s="337"/>
      <c r="G19" s="1123"/>
      <c r="H19" s="342"/>
      <c r="I19" s="1124"/>
      <c r="J19" s="337"/>
      <c r="K19" s="337"/>
      <c r="L19" s="337"/>
      <c r="M19" s="337"/>
      <c r="N19" s="337"/>
      <c r="O19" s="337"/>
      <c r="P19" s="1125"/>
      <c r="Q19" s="1125"/>
      <c r="R19" s="319"/>
      <c r="S19" s="319"/>
      <c r="T19" s="337"/>
      <c r="U19" s="327"/>
      <c r="V19" s="337"/>
      <c r="W19" s="327"/>
      <c r="X19" s="319"/>
      <c r="Y19" s="1128"/>
      <c r="Z19" s="329"/>
      <c r="AA19" s="330"/>
      <c r="AB19" s="1125"/>
      <c r="AC19" s="1125"/>
      <c r="AD19" s="319"/>
      <c r="AE19" s="331"/>
      <c r="AF19" s="332"/>
      <c r="AG19" s="1126"/>
      <c r="AH19" s="341"/>
      <c r="AI19" s="1126"/>
      <c r="AJ19" s="341"/>
      <c r="AK19" s="1126"/>
      <c r="AL19" s="341"/>
      <c r="AM19" s="1126"/>
      <c r="AN19" s="318"/>
      <c r="AO19" s="318"/>
      <c r="AP19" s="332"/>
      <c r="AQ19" s="335"/>
      <c r="AR19" s="337"/>
      <c r="AS19" s="337"/>
      <c r="AT19" s="337"/>
      <c r="AU19" s="337"/>
      <c r="AV19" s="337"/>
      <c r="AW19" s="337"/>
      <c r="AX19" s="337"/>
      <c r="AY19" s="337"/>
      <c r="AZ19" s="336">
        <v>1</v>
      </c>
      <c r="BA19" s="336">
        <v>1</v>
      </c>
      <c r="BB19" s="1119"/>
      <c r="BC19" s="338"/>
      <c r="BD19" s="337"/>
      <c r="BE19" s="337"/>
      <c r="BF19" s="337"/>
      <c r="BG19" s="339" t="s">
        <v>223</v>
      </c>
      <c r="BH19" s="1127"/>
      <c r="BK19" s="337"/>
      <c r="BL19" s="337"/>
      <c r="BM19" s="337"/>
      <c r="BN19" s="341"/>
      <c r="BO19" s="337"/>
      <c r="BP19" s="337"/>
      <c r="BQ19" s="341"/>
      <c r="BR19" s="342"/>
      <c r="BS19" s="343"/>
      <c r="BT19" s="337"/>
      <c r="BU19" s="337"/>
      <c r="BV19" s="337"/>
      <c r="BW19" s="341"/>
      <c r="BX19" s="341"/>
      <c r="BY19" s="343"/>
    </row>
    <row r="20" spans="1:77" s="340" customFormat="1" ht="19.5" customHeight="1">
      <c r="A20" s="315">
        <v>22</v>
      </c>
      <c r="B20" s="315" t="s">
        <v>1113</v>
      </c>
      <c r="C20" s="337">
        <v>15</v>
      </c>
      <c r="D20" s="341"/>
      <c r="E20" s="337"/>
      <c r="F20" s="337"/>
      <c r="G20" s="1123"/>
      <c r="H20" s="342"/>
      <c r="I20" s="1124"/>
      <c r="J20" s="337"/>
      <c r="K20" s="337"/>
      <c r="L20" s="337"/>
      <c r="M20" s="337"/>
      <c r="N20" s="337"/>
      <c r="O20" s="337"/>
      <c r="P20" s="1125"/>
      <c r="Q20" s="1125"/>
      <c r="R20" s="319"/>
      <c r="S20" s="319"/>
      <c r="T20" s="337"/>
      <c r="U20" s="327"/>
      <c r="V20" s="337"/>
      <c r="W20" s="327"/>
      <c r="X20" s="319"/>
      <c r="Y20" s="1128"/>
      <c r="Z20" s="329"/>
      <c r="AA20" s="330"/>
      <c r="AB20" s="1125"/>
      <c r="AC20" s="1125"/>
      <c r="AD20" s="319"/>
      <c r="AE20" s="331"/>
      <c r="AF20" s="332"/>
      <c r="AG20" s="1126"/>
      <c r="AH20" s="341"/>
      <c r="AI20" s="1126"/>
      <c r="AJ20" s="341"/>
      <c r="AK20" s="1126"/>
      <c r="AL20" s="341"/>
      <c r="AM20" s="1126"/>
      <c r="AN20" s="318"/>
      <c r="AO20" s="318"/>
      <c r="AP20" s="332"/>
      <c r="AQ20" s="335"/>
      <c r="AR20" s="337"/>
      <c r="AS20" s="337"/>
      <c r="AT20" s="337"/>
      <c r="AU20" s="337"/>
      <c r="AV20" s="337"/>
      <c r="AW20" s="337"/>
      <c r="AX20" s="337"/>
      <c r="AY20" s="337"/>
      <c r="AZ20" s="336">
        <v>1</v>
      </c>
      <c r="BA20" s="336">
        <v>1</v>
      </c>
      <c r="BB20" s="1119"/>
      <c r="BC20" s="338"/>
      <c r="BD20" s="337"/>
      <c r="BE20" s="337"/>
      <c r="BF20" s="337"/>
      <c r="BG20" s="339" t="s">
        <v>223</v>
      </c>
      <c r="BH20" s="1127"/>
      <c r="BK20" s="337"/>
      <c r="BL20" s="337"/>
      <c r="BM20" s="337"/>
      <c r="BN20" s="341"/>
      <c r="BO20" s="337"/>
      <c r="BP20" s="337"/>
      <c r="BQ20" s="341"/>
      <c r="BR20" s="342"/>
      <c r="BS20" s="343"/>
      <c r="BT20" s="337"/>
      <c r="BU20" s="337"/>
      <c r="BV20" s="337"/>
      <c r="BW20" s="341"/>
      <c r="BX20" s="341"/>
      <c r="BY20" s="343"/>
    </row>
    <row r="21" spans="1:77" s="340" customFormat="1" ht="19.5" customHeight="1">
      <c r="A21" s="315">
        <v>23</v>
      </c>
      <c r="B21" s="315" t="s">
        <v>1113</v>
      </c>
      <c r="C21" s="337">
        <v>16</v>
      </c>
      <c r="D21" s="341"/>
      <c r="E21" s="337"/>
      <c r="F21" s="337"/>
      <c r="G21" s="1123"/>
      <c r="H21" s="342"/>
      <c r="I21" s="1124"/>
      <c r="J21" s="337"/>
      <c r="K21" s="337"/>
      <c r="L21" s="337"/>
      <c r="M21" s="337"/>
      <c r="N21" s="337"/>
      <c r="O21" s="337"/>
      <c r="P21" s="1125"/>
      <c r="Q21" s="1125"/>
      <c r="R21" s="319"/>
      <c r="S21" s="319"/>
      <c r="T21" s="337"/>
      <c r="U21" s="327"/>
      <c r="V21" s="337"/>
      <c r="W21" s="327"/>
      <c r="X21" s="319"/>
      <c r="Y21" s="1128"/>
      <c r="Z21" s="329"/>
      <c r="AA21" s="330"/>
      <c r="AB21" s="1125"/>
      <c r="AC21" s="1125"/>
      <c r="AD21" s="319"/>
      <c r="AE21" s="331"/>
      <c r="AF21" s="332"/>
      <c r="AG21" s="1126"/>
      <c r="AH21" s="341"/>
      <c r="AI21" s="1126"/>
      <c r="AJ21" s="341"/>
      <c r="AK21" s="1126"/>
      <c r="AL21" s="341"/>
      <c r="AM21" s="1126"/>
      <c r="AN21" s="318"/>
      <c r="AO21" s="318"/>
      <c r="AP21" s="332"/>
      <c r="AQ21" s="335"/>
      <c r="AR21" s="337"/>
      <c r="AS21" s="337"/>
      <c r="AT21" s="337"/>
      <c r="AU21" s="337"/>
      <c r="AV21" s="337"/>
      <c r="AW21" s="337"/>
      <c r="AX21" s="337"/>
      <c r="AY21" s="337"/>
      <c r="AZ21" s="336">
        <v>1</v>
      </c>
      <c r="BA21" s="336">
        <v>1</v>
      </c>
      <c r="BB21" s="1119"/>
      <c r="BC21" s="338"/>
      <c r="BD21" s="337"/>
      <c r="BE21" s="337"/>
      <c r="BF21" s="337"/>
      <c r="BG21" s="339" t="s">
        <v>223</v>
      </c>
      <c r="BH21" s="1127"/>
      <c r="BK21" s="337"/>
      <c r="BL21" s="337"/>
      <c r="BM21" s="337"/>
      <c r="BN21" s="341"/>
      <c r="BO21" s="337"/>
      <c r="BP21" s="337"/>
      <c r="BQ21" s="341"/>
      <c r="BR21" s="342"/>
      <c r="BS21" s="343"/>
      <c r="BT21" s="337"/>
      <c r="BU21" s="337"/>
      <c r="BV21" s="337"/>
      <c r="BW21" s="341"/>
      <c r="BX21" s="341"/>
      <c r="BY21" s="343"/>
    </row>
    <row r="22" spans="1:77" s="340" customFormat="1" ht="19.5" customHeight="1">
      <c r="A22" s="315">
        <v>24</v>
      </c>
      <c r="B22" s="315" t="s">
        <v>1113</v>
      </c>
      <c r="C22" s="337">
        <v>17</v>
      </c>
      <c r="D22" s="341"/>
      <c r="E22" s="337"/>
      <c r="F22" s="337"/>
      <c r="G22" s="1123"/>
      <c r="H22" s="342"/>
      <c r="I22" s="1124"/>
      <c r="J22" s="337"/>
      <c r="K22" s="337"/>
      <c r="L22" s="337"/>
      <c r="M22" s="337"/>
      <c r="N22" s="337"/>
      <c r="O22" s="337"/>
      <c r="P22" s="1125"/>
      <c r="Q22" s="1125"/>
      <c r="R22" s="319"/>
      <c r="S22" s="319"/>
      <c r="T22" s="337"/>
      <c r="U22" s="327"/>
      <c r="V22" s="337"/>
      <c r="W22" s="327"/>
      <c r="X22" s="319"/>
      <c r="Y22" s="1128"/>
      <c r="Z22" s="329"/>
      <c r="AA22" s="330"/>
      <c r="AB22" s="1125"/>
      <c r="AC22" s="1125"/>
      <c r="AD22" s="319"/>
      <c r="AE22" s="331"/>
      <c r="AF22" s="332"/>
      <c r="AG22" s="1126"/>
      <c r="AH22" s="341"/>
      <c r="AI22" s="1126"/>
      <c r="AJ22" s="341"/>
      <c r="AK22" s="1126"/>
      <c r="AL22" s="341"/>
      <c r="AM22" s="1126"/>
      <c r="AN22" s="318"/>
      <c r="AO22" s="318"/>
      <c r="AP22" s="332"/>
      <c r="AQ22" s="335"/>
      <c r="AR22" s="337"/>
      <c r="AS22" s="337"/>
      <c r="AT22" s="337"/>
      <c r="AU22" s="337"/>
      <c r="AV22" s="337"/>
      <c r="AW22" s="337"/>
      <c r="AX22" s="337"/>
      <c r="AY22" s="337"/>
      <c r="AZ22" s="336">
        <v>1</v>
      </c>
      <c r="BA22" s="336">
        <v>1</v>
      </c>
      <c r="BB22" s="1119"/>
      <c r="BC22" s="338"/>
      <c r="BD22" s="337"/>
      <c r="BE22" s="337"/>
      <c r="BF22" s="337"/>
      <c r="BG22" s="339" t="s">
        <v>223</v>
      </c>
      <c r="BH22" s="1127"/>
      <c r="BK22" s="337"/>
      <c r="BL22" s="337"/>
      <c r="BM22" s="337"/>
      <c r="BN22" s="341"/>
      <c r="BO22" s="337"/>
      <c r="BP22" s="337"/>
      <c r="BQ22" s="341"/>
      <c r="BR22" s="342"/>
      <c r="BS22" s="343"/>
      <c r="BT22" s="337"/>
      <c r="BU22" s="337"/>
      <c r="BV22" s="337"/>
      <c r="BW22" s="341"/>
      <c r="BX22" s="341"/>
      <c r="BY22" s="343"/>
    </row>
    <row r="23" spans="1:77" s="340" customFormat="1" ht="19.5" customHeight="1">
      <c r="A23" s="315">
        <v>25</v>
      </c>
      <c r="B23" s="315" t="s">
        <v>1113</v>
      </c>
      <c r="C23" s="337">
        <v>18</v>
      </c>
      <c r="D23" s="341"/>
      <c r="E23" s="337"/>
      <c r="F23" s="337"/>
      <c r="G23" s="1123"/>
      <c r="H23" s="342"/>
      <c r="I23" s="1124"/>
      <c r="J23" s="337"/>
      <c r="K23" s="337"/>
      <c r="L23" s="337"/>
      <c r="M23" s="337"/>
      <c r="N23" s="337"/>
      <c r="O23" s="337"/>
      <c r="P23" s="1125"/>
      <c r="Q23" s="1125"/>
      <c r="R23" s="319"/>
      <c r="S23" s="319"/>
      <c r="T23" s="337"/>
      <c r="U23" s="327"/>
      <c r="V23" s="337"/>
      <c r="W23" s="327"/>
      <c r="X23" s="319"/>
      <c r="Y23" s="1128"/>
      <c r="Z23" s="329"/>
      <c r="AA23" s="330"/>
      <c r="AB23" s="1125"/>
      <c r="AC23" s="1125"/>
      <c r="AD23" s="319"/>
      <c r="AE23" s="331"/>
      <c r="AF23" s="332"/>
      <c r="AG23" s="1126"/>
      <c r="AH23" s="341"/>
      <c r="AI23" s="1126"/>
      <c r="AJ23" s="341"/>
      <c r="AK23" s="1126"/>
      <c r="AL23" s="341"/>
      <c r="AM23" s="1126"/>
      <c r="AN23" s="318"/>
      <c r="AO23" s="318"/>
      <c r="AP23" s="332"/>
      <c r="AQ23" s="335"/>
      <c r="AR23" s="337"/>
      <c r="AS23" s="337"/>
      <c r="AT23" s="337"/>
      <c r="AU23" s="337"/>
      <c r="AV23" s="337"/>
      <c r="AW23" s="337"/>
      <c r="AX23" s="337"/>
      <c r="AY23" s="337"/>
      <c r="AZ23" s="336">
        <v>1</v>
      </c>
      <c r="BA23" s="336">
        <v>1</v>
      </c>
      <c r="BB23" s="1119"/>
      <c r="BC23" s="338"/>
      <c r="BD23" s="337"/>
      <c r="BE23" s="337"/>
      <c r="BF23" s="337"/>
      <c r="BG23" s="339" t="s">
        <v>223</v>
      </c>
      <c r="BH23" s="1127"/>
      <c r="BK23" s="337"/>
      <c r="BL23" s="337"/>
      <c r="BM23" s="337"/>
      <c r="BN23" s="341"/>
      <c r="BO23" s="337"/>
      <c r="BP23" s="337"/>
      <c r="BQ23" s="341"/>
      <c r="BR23" s="342"/>
      <c r="BS23" s="343"/>
      <c r="BT23" s="337"/>
      <c r="BU23" s="337"/>
      <c r="BV23" s="337"/>
      <c r="BW23" s="341"/>
      <c r="BX23" s="341"/>
      <c r="BY23" s="343"/>
    </row>
    <row r="24" spans="1:77" s="340" customFormat="1" ht="19.5" customHeight="1">
      <c r="A24" s="315">
        <v>26</v>
      </c>
      <c r="B24" s="315" t="s">
        <v>1113</v>
      </c>
      <c r="C24" s="337">
        <v>19</v>
      </c>
      <c r="D24" s="341"/>
      <c r="E24" s="337"/>
      <c r="F24" s="337"/>
      <c r="G24" s="1123"/>
      <c r="H24" s="342"/>
      <c r="I24" s="1124"/>
      <c r="J24" s="337"/>
      <c r="K24" s="337"/>
      <c r="L24" s="337"/>
      <c r="M24" s="337"/>
      <c r="N24" s="337"/>
      <c r="O24" s="337"/>
      <c r="P24" s="1125"/>
      <c r="Q24" s="1125"/>
      <c r="R24" s="319"/>
      <c r="S24" s="319"/>
      <c r="T24" s="337"/>
      <c r="U24" s="327"/>
      <c r="V24" s="337"/>
      <c r="W24" s="327"/>
      <c r="X24" s="319"/>
      <c r="Y24" s="1128"/>
      <c r="Z24" s="329"/>
      <c r="AA24" s="330"/>
      <c r="AB24" s="1125"/>
      <c r="AC24" s="1125"/>
      <c r="AD24" s="319"/>
      <c r="AE24" s="331"/>
      <c r="AF24" s="332"/>
      <c r="AG24" s="1126"/>
      <c r="AH24" s="341"/>
      <c r="AI24" s="1126"/>
      <c r="AJ24" s="341"/>
      <c r="AK24" s="1126"/>
      <c r="AL24" s="341"/>
      <c r="AM24" s="1126"/>
      <c r="AN24" s="318"/>
      <c r="AO24" s="318"/>
      <c r="AP24" s="332"/>
      <c r="AQ24" s="335"/>
      <c r="AR24" s="337"/>
      <c r="AS24" s="337"/>
      <c r="AT24" s="337"/>
      <c r="AU24" s="337"/>
      <c r="AV24" s="337"/>
      <c r="AW24" s="337"/>
      <c r="AX24" s="337"/>
      <c r="AY24" s="337"/>
      <c r="AZ24" s="336">
        <v>1</v>
      </c>
      <c r="BA24" s="336">
        <v>1</v>
      </c>
      <c r="BB24" s="1119"/>
      <c r="BC24" s="338"/>
      <c r="BD24" s="337"/>
      <c r="BE24" s="337"/>
      <c r="BF24" s="337"/>
      <c r="BG24" s="339" t="s">
        <v>223</v>
      </c>
      <c r="BH24" s="1127"/>
      <c r="BK24" s="337"/>
      <c r="BL24" s="337"/>
      <c r="BM24" s="337"/>
      <c r="BN24" s="341"/>
      <c r="BO24" s="337"/>
      <c r="BP24" s="337"/>
      <c r="BQ24" s="341"/>
      <c r="BR24" s="342"/>
      <c r="BS24" s="343"/>
      <c r="BT24" s="337"/>
      <c r="BU24" s="337"/>
      <c r="BV24" s="337"/>
      <c r="BW24" s="341"/>
      <c r="BX24" s="341"/>
      <c r="BY24" s="343"/>
    </row>
    <row r="25" spans="1:77" s="340" customFormat="1" ht="19.5" customHeight="1">
      <c r="A25" s="315">
        <v>27</v>
      </c>
      <c r="B25" s="315" t="s">
        <v>1113</v>
      </c>
      <c r="C25" s="337">
        <v>20</v>
      </c>
      <c r="D25" s="341"/>
      <c r="E25" s="337"/>
      <c r="F25" s="337"/>
      <c r="G25" s="1123"/>
      <c r="H25" s="342"/>
      <c r="I25" s="1124"/>
      <c r="J25" s="337"/>
      <c r="K25" s="337"/>
      <c r="L25" s="337"/>
      <c r="M25" s="337"/>
      <c r="N25" s="337"/>
      <c r="O25" s="337"/>
      <c r="P25" s="1125"/>
      <c r="Q25" s="1125"/>
      <c r="R25" s="319"/>
      <c r="S25" s="319"/>
      <c r="T25" s="337"/>
      <c r="U25" s="327"/>
      <c r="V25" s="337"/>
      <c r="W25" s="327"/>
      <c r="X25" s="319"/>
      <c r="Y25" s="1128"/>
      <c r="Z25" s="329"/>
      <c r="AA25" s="330"/>
      <c r="AB25" s="1125"/>
      <c r="AC25" s="1125"/>
      <c r="AD25" s="319"/>
      <c r="AE25" s="331"/>
      <c r="AF25" s="332"/>
      <c r="AG25" s="1126"/>
      <c r="AH25" s="341"/>
      <c r="AI25" s="1126"/>
      <c r="AJ25" s="341"/>
      <c r="AK25" s="1126"/>
      <c r="AL25" s="341"/>
      <c r="AM25" s="1126"/>
      <c r="AN25" s="318"/>
      <c r="AO25" s="318"/>
      <c r="AP25" s="332"/>
      <c r="AQ25" s="335"/>
      <c r="AR25" s="337"/>
      <c r="AS25" s="337"/>
      <c r="AT25" s="337"/>
      <c r="AU25" s="337"/>
      <c r="AV25" s="337"/>
      <c r="AW25" s="337"/>
      <c r="AX25" s="337"/>
      <c r="AY25" s="337"/>
      <c r="AZ25" s="336">
        <v>1</v>
      </c>
      <c r="BA25" s="336">
        <v>1</v>
      </c>
      <c r="BB25" s="1119"/>
      <c r="BC25" s="338"/>
      <c r="BD25" s="337"/>
      <c r="BE25" s="337"/>
      <c r="BF25" s="337"/>
      <c r="BG25" s="339" t="s">
        <v>223</v>
      </c>
      <c r="BH25" s="1127"/>
      <c r="BK25" s="337"/>
      <c r="BL25" s="337"/>
      <c r="BM25" s="337"/>
      <c r="BN25" s="341"/>
      <c r="BO25" s="337"/>
      <c r="BP25" s="337"/>
      <c r="BQ25" s="341"/>
      <c r="BR25" s="342"/>
      <c r="BS25" s="343"/>
      <c r="BT25" s="337"/>
      <c r="BU25" s="337"/>
      <c r="BV25" s="337"/>
      <c r="BW25" s="341"/>
      <c r="BX25" s="341"/>
      <c r="BY25" s="343"/>
    </row>
    <row r="26" spans="1:77" s="305" customFormat="1" ht="21.75" customHeight="1">
      <c r="A26" s="305" t="s">
        <v>242</v>
      </c>
      <c r="F26" s="1129"/>
      <c r="K26" s="304"/>
      <c r="L26" s="304"/>
      <c r="M26" s="304"/>
      <c r="N26" s="304"/>
      <c r="P26" s="304"/>
      <c r="R26" s="304"/>
      <c r="S26" s="304"/>
      <c r="T26" s="304"/>
      <c r="V26" s="304"/>
      <c r="W26" s="304"/>
      <c r="X26" s="304"/>
      <c r="Y26" s="1129"/>
      <c r="Z26" s="1130"/>
      <c r="AB26" s="304"/>
      <c r="AC26" s="304"/>
      <c r="AD26" s="304"/>
      <c r="AE26" s="304"/>
      <c r="AF26" s="304"/>
      <c r="AH26" s="304"/>
      <c r="AN26" s="304"/>
      <c r="AO26" s="304"/>
      <c r="AQ26" s="304"/>
      <c r="AR26" s="304"/>
      <c r="AS26" s="304"/>
      <c r="AT26" s="304"/>
      <c r="AU26" s="304"/>
      <c r="AV26" s="304"/>
      <c r="AW26" s="304"/>
      <c r="AX26" s="304"/>
      <c r="AY26" s="304"/>
      <c r="AZ26" s="304"/>
      <c r="BA26" s="304"/>
      <c r="BB26" s="304"/>
      <c r="BC26" s="304"/>
      <c r="BK26" s="304"/>
      <c r="BL26" s="304"/>
      <c r="BM26" s="304"/>
      <c r="BO26" s="304"/>
      <c r="BP26" s="304"/>
      <c r="BR26" s="37"/>
      <c r="BS26" s="21"/>
      <c r="BT26" s="304"/>
      <c r="BU26" s="304"/>
      <c r="BV26" s="304"/>
      <c r="BW26" s="1131"/>
      <c r="BX26" s="1131"/>
      <c r="BY26" s="21"/>
    </row>
    <row r="27" spans="6:77" s="305" customFormat="1" ht="21.75" customHeight="1">
      <c r="F27" s="1129"/>
      <c r="K27" s="304"/>
      <c r="L27" s="304"/>
      <c r="M27" s="304"/>
      <c r="N27" s="304"/>
      <c r="P27" s="304"/>
      <c r="R27" s="304"/>
      <c r="S27" s="304"/>
      <c r="T27" s="304"/>
      <c r="V27" s="304"/>
      <c r="W27" s="304"/>
      <c r="X27" s="304"/>
      <c r="Y27" s="1129"/>
      <c r="Z27" s="1130"/>
      <c r="AB27" s="304"/>
      <c r="AC27" s="304"/>
      <c r="AD27" s="304"/>
      <c r="AE27" s="304"/>
      <c r="AF27" s="304"/>
      <c r="AH27" s="304"/>
      <c r="AN27" s="304"/>
      <c r="AO27" s="304"/>
      <c r="AQ27" s="304"/>
      <c r="AR27" s="304"/>
      <c r="AS27" s="304"/>
      <c r="AT27" s="304"/>
      <c r="AU27" s="304"/>
      <c r="AV27" s="304"/>
      <c r="AW27" s="304"/>
      <c r="AX27" s="304"/>
      <c r="AY27" s="304"/>
      <c r="AZ27" s="304"/>
      <c r="BA27" s="304"/>
      <c r="BB27" s="304"/>
      <c r="BC27" s="304"/>
      <c r="BK27" s="304"/>
      <c r="BL27" s="304"/>
      <c r="BM27" s="304"/>
      <c r="BO27" s="304"/>
      <c r="BP27" s="304"/>
      <c r="BR27" s="37"/>
      <c r="BS27" s="21"/>
      <c r="BT27" s="304"/>
      <c r="BU27" s="304"/>
      <c r="BV27" s="304"/>
      <c r="BW27" s="1131"/>
      <c r="BX27" s="1131"/>
      <c r="BY27" s="21"/>
    </row>
    <row r="28" spans="6:77" s="305" customFormat="1" ht="21.75" customHeight="1">
      <c r="F28" s="1129"/>
      <c r="K28" s="304"/>
      <c r="L28" s="304"/>
      <c r="M28" s="304"/>
      <c r="N28" s="304"/>
      <c r="P28" s="304"/>
      <c r="R28" s="304"/>
      <c r="S28" s="304"/>
      <c r="T28" s="304"/>
      <c r="V28" s="304"/>
      <c r="W28" s="304"/>
      <c r="X28" s="304"/>
      <c r="Y28" s="1129"/>
      <c r="Z28" s="1130"/>
      <c r="AB28" s="304"/>
      <c r="AC28" s="304"/>
      <c r="AD28" s="304"/>
      <c r="AE28" s="304"/>
      <c r="AF28" s="304"/>
      <c r="AH28" s="304"/>
      <c r="AN28" s="304"/>
      <c r="AO28" s="304"/>
      <c r="AQ28" s="304"/>
      <c r="AR28" s="304"/>
      <c r="AS28" s="304"/>
      <c r="AT28" s="304"/>
      <c r="AU28" s="304"/>
      <c r="AV28" s="304"/>
      <c r="AW28" s="304"/>
      <c r="AX28" s="304"/>
      <c r="AY28" s="304"/>
      <c r="AZ28" s="304"/>
      <c r="BA28" s="304"/>
      <c r="BB28" s="304"/>
      <c r="BC28" s="304"/>
      <c r="BK28" s="304"/>
      <c r="BL28" s="304"/>
      <c r="BM28" s="304"/>
      <c r="BO28" s="304"/>
      <c r="BP28" s="304"/>
      <c r="BR28" s="37"/>
      <c r="BS28" s="21"/>
      <c r="BT28" s="304"/>
      <c r="BU28" s="304"/>
      <c r="BV28" s="304"/>
      <c r="BW28" s="1131"/>
      <c r="BX28" s="1131"/>
      <c r="BY28" s="21"/>
    </row>
    <row r="29" spans="6:77" s="305" customFormat="1" ht="21.75" customHeight="1">
      <c r="F29" s="1129"/>
      <c r="K29" s="304"/>
      <c r="L29" s="304"/>
      <c r="M29" s="304"/>
      <c r="N29" s="304"/>
      <c r="P29" s="304"/>
      <c r="R29" s="304"/>
      <c r="S29" s="304"/>
      <c r="T29" s="304"/>
      <c r="V29" s="304"/>
      <c r="W29" s="304"/>
      <c r="X29" s="304"/>
      <c r="Y29" s="1129"/>
      <c r="Z29" s="1130"/>
      <c r="AB29" s="304"/>
      <c r="AC29" s="304"/>
      <c r="AD29" s="304"/>
      <c r="AE29" s="304"/>
      <c r="AF29" s="304"/>
      <c r="AH29" s="304"/>
      <c r="AN29" s="304"/>
      <c r="AO29" s="304"/>
      <c r="AQ29" s="304"/>
      <c r="AR29" s="304"/>
      <c r="AS29" s="304"/>
      <c r="AT29" s="304"/>
      <c r="AU29" s="304"/>
      <c r="AV29" s="304"/>
      <c r="AW29" s="304"/>
      <c r="AX29" s="304"/>
      <c r="AY29" s="304"/>
      <c r="AZ29" s="304"/>
      <c r="BA29" s="304"/>
      <c r="BB29" s="304"/>
      <c r="BC29" s="304"/>
      <c r="BK29" s="304"/>
      <c r="BL29" s="304"/>
      <c r="BM29" s="304"/>
      <c r="BO29" s="304"/>
      <c r="BP29" s="304"/>
      <c r="BR29" s="37"/>
      <c r="BS29" s="21"/>
      <c r="BT29" s="304"/>
      <c r="BU29" s="304"/>
      <c r="BV29" s="304"/>
      <c r="BW29" s="1131"/>
      <c r="BX29" s="1131"/>
      <c r="BY29" s="21"/>
    </row>
    <row r="30" spans="1:77" s="305" customFormat="1" ht="21.75" customHeight="1">
      <c r="A30" s="305" t="s">
        <v>1167</v>
      </c>
      <c r="F30" s="1129"/>
      <c r="K30" s="304"/>
      <c r="L30" s="304"/>
      <c r="M30" s="304"/>
      <c r="N30" s="304"/>
      <c r="P30" s="304"/>
      <c r="R30" s="304"/>
      <c r="S30" s="304"/>
      <c r="T30" s="304"/>
      <c r="V30" s="304"/>
      <c r="W30" s="304"/>
      <c r="X30" s="304"/>
      <c r="Y30" s="1129"/>
      <c r="Z30" s="1130"/>
      <c r="AB30" s="304"/>
      <c r="AC30" s="304"/>
      <c r="AD30" s="304"/>
      <c r="AE30" s="304"/>
      <c r="AF30" s="304"/>
      <c r="AH30" s="304"/>
      <c r="AN30" s="304"/>
      <c r="AO30" s="304"/>
      <c r="AQ30" s="304"/>
      <c r="AR30" s="304"/>
      <c r="AS30" s="304"/>
      <c r="AT30" s="304"/>
      <c r="AU30" s="304"/>
      <c r="AV30" s="304"/>
      <c r="AW30" s="304"/>
      <c r="AX30" s="304"/>
      <c r="AY30" s="304"/>
      <c r="AZ30" s="304"/>
      <c r="BA30" s="304"/>
      <c r="BB30" s="304"/>
      <c r="BC30" s="304"/>
      <c r="BK30" s="304"/>
      <c r="BL30" s="304"/>
      <c r="BM30" s="304"/>
      <c r="BO30" s="304"/>
      <c r="BP30" s="304"/>
      <c r="BR30" s="37"/>
      <c r="BS30" s="21"/>
      <c r="BT30" s="304"/>
      <c r="BU30" s="304"/>
      <c r="BV30" s="304"/>
      <c r="BW30" s="1131"/>
      <c r="BX30" s="1131"/>
      <c r="BY30" s="21"/>
    </row>
    <row r="31" spans="1:77" s="305" customFormat="1" ht="21.75" customHeight="1">
      <c r="A31" s="311" t="s">
        <v>759</v>
      </c>
      <c r="B31" s="311" t="s">
        <v>670</v>
      </c>
      <c r="C31" s="1132" t="s">
        <v>126</v>
      </c>
      <c r="D31" s="311" t="s">
        <v>123</v>
      </c>
      <c r="E31" s="311" t="s">
        <v>760</v>
      </c>
      <c r="F31" s="311" t="s">
        <v>1317</v>
      </c>
      <c r="G31" s="311" t="s">
        <v>1318</v>
      </c>
      <c r="H31" s="311" t="s">
        <v>958</v>
      </c>
      <c r="I31" s="311" t="s">
        <v>959</v>
      </c>
      <c r="J31" s="311" t="s">
        <v>962</v>
      </c>
      <c r="K31" s="311" t="s">
        <v>796</v>
      </c>
      <c r="L31" s="311" t="s">
        <v>797</v>
      </c>
      <c r="M31" s="311" t="s">
        <v>386</v>
      </c>
      <c r="O31" s="304"/>
      <c r="Q31" s="304"/>
      <c r="R31" s="304"/>
      <c r="S31" s="304"/>
      <c r="U31" s="304"/>
      <c r="V31" s="304"/>
      <c r="W31" s="304"/>
      <c r="Y31" s="1129"/>
      <c r="Z31" s="1130"/>
      <c r="AA31" s="304"/>
      <c r="AB31" s="304"/>
      <c r="AC31" s="304"/>
      <c r="AD31" s="304"/>
      <c r="AE31" s="304"/>
      <c r="AG31" s="304"/>
      <c r="AM31" s="304"/>
      <c r="AN31" s="304"/>
      <c r="AP31" s="304"/>
      <c r="AQ31" s="304"/>
      <c r="AR31" s="304"/>
      <c r="AS31" s="304"/>
      <c r="AT31" s="304"/>
      <c r="AU31" s="304"/>
      <c r="AV31" s="304"/>
      <c r="AW31" s="304"/>
      <c r="AX31" s="304"/>
      <c r="AY31" s="304"/>
      <c r="AZ31" s="304"/>
      <c r="BA31" s="304"/>
      <c r="BB31" s="304"/>
      <c r="BK31" s="304"/>
      <c r="BL31" s="304"/>
      <c r="BM31" s="304"/>
      <c r="BO31" s="304"/>
      <c r="BP31" s="304"/>
      <c r="BR31" s="37"/>
      <c r="BS31" s="21"/>
      <c r="BT31" s="304"/>
      <c r="BU31" s="304"/>
      <c r="BV31" s="304"/>
      <c r="BW31" s="1131"/>
      <c r="BX31" s="1131"/>
      <c r="BY31" s="21"/>
    </row>
    <row r="32" spans="1:77" s="305" customFormat="1" ht="21.75" customHeight="1">
      <c r="A32" s="791" t="s">
        <v>295</v>
      </c>
      <c r="B32" s="311">
        <f>C4</f>
        <v>1</v>
      </c>
      <c r="C32" s="1906" t="s">
        <v>1130</v>
      </c>
      <c r="D32" s="1906" t="s">
        <v>1131</v>
      </c>
      <c r="E32" s="1906">
        <v>350</v>
      </c>
      <c r="F32" s="1906" t="s">
        <v>48</v>
      </c>
      <c r="G32" s="1907" t="s">
        <v>1132</v>
      </c>
      <c r="H32" s="1906" t="s">
        <v>1250</v>
      </c>
      <c r="I32" s="1906" t="s">
        <v>1132</v>
      </c>
      <c r="J32" s="1907" t="s">
        <v>1251</v>
      </c>
      <c r="K32" s="1907" t="s">
        <v>1252</v>
      </c>
      <c r="L32" s="1907" t="s">
        <v>1253</v>
      </c>
      <c r="M32" s="1907" t="s">
        <v>1254</v>
      </c>
      <c r="O32" s="304"/>
      <c r="Q32" s="304"/>
      <c r="R32" s="304"/>
      <c r="S32" s="304"/>
      <c r="U32" s="304"/>
      <c r="V32" s="304"/>
      <c r="W32" s="304"/>
      <c r="Y32" s="1129"/>
      <c r="Z32" s="1130"/>
      <c r="AA32" s="304"/>
      <c r="AB32" s="304"/>
      <c r="AC32" s="304"/>
      <c r="AD32" s="304"/>
      <c r="AE32" s="304"/>
      <c r="AG32" s="304"/>
      <c r="AM32" s="304"/>
      <c r="AN32" s="304"/>
      <c r="AP32" s="304"/>
      <c r="AQ32" s="304"/>
      <c r="AR32" s="304"/>
      <c r="AS32" s="304"/>
      <c r="AT32" s="304"/>
      <c r="AU32" s="304"/>
      <c r="AV32" s="304"/>
      <c r="AW32" s="304"/>
      <c r="AX32" s="304"/>
      <c r="AY32" s="304"/>
      <c r="AZ32" s="304"/>
      <c r="BA32" s="304"/>
      <c r="BB32" s="304"/>
      <c r="BK32" s="304"/>
      <c r="BL32" s="304"/>
      <c r="BM32" s="304"/>
      <c r="BO32" s="304"/>
      <c r="BP32" s="304"/>
      <c r="BR32" s="37"/>
      <c r="BS32" s="21"/>
      <c r="BT32" s="304"/>
      <c r="BU32" s="304"/>
      <c r="BV32" s="304"/>
      <c r="BW32" s="1131"/>
      <c r="BX32" s="1131"/>
      <c r="BY32" s="21"/>
    </row>
    <row r="33" spans="1:77" s="305" customFormat="1" ht="21.75" customHeight="1">
      <c r="A33" s="791" t="s">
        <v>295</v>
      </c>
      <c r="B33" s="311" t="e">
        <f>#REF!</f>
        <v>#REF!</v>
      </c>
      <c r="C33" s="1133"/>
      <c r="D33" s="1133"/>
      <c r="E33" s="1133">
        <v>0</v>
      </c>
      <c r="F33" s="1133"/>
      <c r="G33" s="1134"/>
      <c r="H33" s="1133"/>
      <c r="I33" s="1133"/>
      <c r="J33" s="1134"/>
      <c r="K33" s="1134"/>
      <c r="L33" s="1134" t="s">
        <v>532</v>
      </c>
      <c r="M33" s="1134" t="s">
        <v>532</v>
      </c>
      <c r="O33" s="304"/>
      <c r="Q33" s="304"/>
      <c r="R33" s="304"/>
      <c r="S33" s="304"/>
      <c r="U33" s="304"/>
      <c r="V33" s="304"/>
      <c r="W33" s="304"/>
      <c r="Y33" s="1129"/>
      <c r="Z33" s="1130"/>
      <c r="AA33" s="304"/>
      <c r="AB33" s="304"/>
      <c r="AC33" s="304"/>
      <c r="AD33" s="304"/>
      <c r="AE33" s="304"/>
      <c r="AG33" s="304"/>
      <c r="AM33" s="304"/>
      <c r="AN33" s="304"/>
      <c r="AP33" s="304"/>
      <c r="AQ33" s="304"/>
      <c r="AR33" s="304"/>
      <c r="AS33" s="304"/>
      <c r="AT33" s="304"/>
      <c r="AU33" s="304"/>
      <c r="AV33" s="304"/>
      <c r="AW33" s="304"/>
      <c r="AX33" s="304"/>
      <c r="AY33" s="304"/>
      <c r="AZ33" s="304"/>
      <c r="BA33" s="304"/>
      <c r="BB33" s="304"/>
      <c r="BK33" s="304"/>
      <c r="BL33" s="304"/>
      <c r="BM33" s="304"/>
      <c r="BO33" s="304"/>
      <c r="BP33" s="304"/>
      <c r="BR33" s="37"/>
      <c r="BS33" s="21"/>
      <c r="BT33" s="304"/>
      <c r="BU33" s="304"/>
      <c r="BV33" s="304"/>
      <c r="BW33" s="1131"/>
      <c r="BX33" s="1131"/>
      <c r="BY33" s="21"/>
    </row>
    <row r="34" spans="1:77" s="305" customFormat="1" ht="21.75" customHeight="1">
      <c r="A34" s="791" t="s">
        <v>295</v>
      </c>
      <c r="B34" s="311" t="e">
        <f>#REF!</f>
        <v>#REF!</v>
      </c>
      <c r="C34" s="1133"/>
      <c r="D34" s="1133"/>
      <c r="E34" s="1133">
        <v>0</v>
      </c>
      <c r="F34" s="1133"/>
      <c r="G34" s="1134"/>
      <c r="H34" s="1133"/>
      <c r="I34" s="1133"/>
      <c r="J34" s="1134"/>
      <c r="K34" s="1134"/>
      <c r="L34" s="1134" t="s">
        <v>532</v>
      </c>
      <c r="M34" s="1134" t="s">
        <v>532</v>
      </c>
      <c r="O34" s="304"/>
      <c r="Q34" s="304"/>
      <c r="R34" s="304"/>
      <c r="S34" s="304"/>
      <c r="U34" s="304"/>
      <c r="V34" s="304"/>
      <c r="W34" s="304"/>
      <c r="Y34" s="1129"/>
      <c r="Z34" s="1130"/>
      <c r="AA34" s="304"/>
      <c r="AB34" s="304"/>
      <c r="AC34" s="304"/>
      <c r="AD34" s="304"/>
      <c r="AE34" s="304"/>
      <c r="AG34" s="304"/>
      <c r="AM34" s="304"/>
      <c r="AN34" s="304"/>
      <c r="AP34" s="304"/>
      <c r="AQ34" s="304"/>
      <c r="AR34" s="304"/>
      <c r="AS34" s="304"/>
      <c r="AT34" s="304"/>
      <c r="AU34" s="304"/>
      <c r="AV34" s="304"/>
      <c r="AW34" s="304"/>
      <c r="AX34" s="304"/>
      <c r="AY34" s="304"/>
      <c r="AZ34" s="304"/>
      <c r="BA34" s="304"/>
      <c r="BB34" s="304"/>
      <c r="BK34" s="304"/>
      <c r="BL34" s="304"/>
      <c r="BM34" s="304"/>
      <c r="BO34" s="304"/>
      <c r="BP34" s="304"/>
      <c r="BR34" s="37"/>
      <c r="BS34" s="21"/>
      <c r="BT34" s="304"/>
      <c r="BU34" s="304"/>
      <c r="BV34" s="304"/>
      <c r="BW34" s="1131"/>
      <c r="BX34" s="1131"/>
      <c r="BY34" s="21"/>
    </row>
    <row r="35" spans="1:77" s="305" customFormat="1" ht="21.75" customHeight="1">
      <c r="A35" s="791" t="s">
        <v>295</v>
      </c>
      <c r="B35" s="311" t="e">
        <f>#REF!</f>
        <v>#REF!</v>
      </c>
      <c r="C35" s="1133"/>
      <c r="D35" s="1133"/>
      <c r="E35" s="1133">
        <v>0</v>
      </c>
      <c r="F35" s="1133"/>
      <c r="G35" s="1134"/>
      <c r="H35" s="1133"/>
      <c r="I35" s="1133"/>
      <c r="J35" s="1134"/>
      <c r="K35" s="1134"/>
      <c r="L35" s="1134" t="s">
        <v>532</v>
      </c>
      <c r="M35" s="1134" t="s">
        <v>532</v>
      </c>
      <c r="O35" s="304"/>
      <c r="Q35" s="304"/>
      <c r="R35" s="304"/>
      <c r="S35" s="304"/>
      <c r="U35" s="304"/>
      <c r="V35" s="304"/>
      <c r="W35" s="304"/>
      <c r="Y35" s="1129"/>
      <c r="Z35" s="1130"/>
      <c r="AA35" s="304"/>
      <c r="AB35" s="304"/>
      <c r="AC35" s="304"/>
      <c r="AD35" s="304"/>
      <c r="AE35" s="304"/>
      <c r="AG35" s="304"/>
      <c r="AM35" s="304"/>
      <c r="AN35" s="304"/>
      <c r="AP35" s="304"/>
      <c r="AQ35" s="304"/>
      <c r="AR35" s="304"/>
      <c r="AS35" s="304"/>
      <c r="AT35" s="304"/>
      <c r="AU35" s="304"/>
      <c r="AV35" s="304"/>
      <c r="AW35" s="304"/>
      <c r="AX35" s="304"/>
      <c r="AY35" s="304"/>
      <c r="AZ35" s="304"/>
      <c r="BA35" s="304"/>
      <c r="BB35" s="304"/>
      <c r="BK35" s="304"/>
      <c r="BL35" s="304"/>
      <c r="BM35" s="304"/>
      <c r="BO35" s="304"/>
      <c r="BP35" s="304"/>
      <c r="BR35" s="37"/>
      <c r="BS35" s="21"/>
      <c r="BT35" s="304"/>
      <c r="BU35" s="304"/>
      <c r="BV35" s="304"/>
      <c r="BW35" s="1131"/>
      <c r="BX35" s="1131"/>
      <c r="BY35" s="21"/>
    </row>
    <row r="36" spans="1:77" s="305" customFormat="1" ht="21.75" customHeight="1">
      <c r="A36" s="791" t="s">
        <v>295</v>
      </c>
      <c r="B36" s="311" t="e">
        <f>#REF!</f>
        <v>#REF!</v>
      </c>
      <c r="C36" s="1133"/>
      <c r="D36" s="1133"/>
      <c r="E36" s="1133">
        <v>0</v>
      </c>
      <c r="F36" s="1133"/>
      <c r="G36" s="1134"/>
      <c r="H36" s="1133"/>
      <c r="I36" s="1133"/>
      <c r="J36" s="1134"/>
      <c r="K36" s="1134"/>
      <c r="L36" s="1134" t="s">
        <v>532</v>
      </c>
      <c r="M36" s="1134" t="s">
        <v>532</v>
      </c>
      <c r="O36" s="304"/>
      <c r="Q36" s="304"/>
      <c r="R36" s="304"/>
      <c r="S36" s="304"/>
      <c r="U36" s="304"/>
      <c r="V36" s="304"/>
      <c r="W36" s="304"/>
      <c r="Y36" s="1129"/>
      <c r="Z36" s="1130"/>
      <c r="AA36" s="304"/>
      <c r="AB36" s="304"/>
      <c r="AC36" s="304"/>
      <c r="AD36" s="304"/>
      <c r="AE36" s="304"/>
      <c r="AG36" s="304"/>
      <c r="AM36" s="304"/>
      <c r="AN36" s="304"/>
      <c r="AP36" s="304"/>
      <c r="AQ36" s="304"/>
      <c r="AR36" s="304"/>
      <c r="AS36" s="304"/>
      <c r="AT36" s="304"/>
      <c r="AU36" s="304"/>
      <c r="AV36" s="304"/>
      <c r="AW36" s="304"/>
      <c r="AX36" s="304"/>
      <c r="AY36" s="304"/>
      <c r="AZ36" s="304"/>
      <c r="BA36" s="304"/>
      <c r="BB36" s="304"/>
      <c r="BK36" s="304"/>
      <c r="BL36" s="304"/>
      <c r="BM36" s="304"/>
      <c r="BO36" s="304"/>
      <c r="BP36" s="304"/>
      <c r="BR36" s="37"/>
      <c r="BS36" s="21"/>
      <c r="BT36" s="304"/>
      <c r="BU36" s="304"/>
      <c r="BV36" s="304"/>
      <c r="BW36" s="1131"/>
      <c r="BX36" s="1131"/>
      <c r="BY36" s="21"/>
    </row>
    <row r="37" spans="3:77" s="305" customFormat="1" ht="21.75" customHeight="1">
      <c r="C37" s="1135"/>
      <c r="D37" s="1136"/>
      <c r="E37" s="1136"/>
      <c r="F37" s="1129"/>
      <c r="K37" s="304"/>
      <c r="L37" s="304"/>
      <c r="M37" s="304"/>
      <c r="N37" s="304"/>
      <c r="P37" s="304"/>
      <c r="R37" s="304"/>
      <c r="S37" s="304"/>
      <c r="T37" s="304"/>
      <c r="V37" s="304"/>
      <c r="W37" s="304"/>
      <c r="X37" s="304"/>
      <c r="Y37" s="1129"/>
      <c r="Z37" s="1130"/>
      <c r="AB37" s="304"/>
      <c r="AC37" s="304"/>
      <c r="AD37" s="304"/>
      <c r="AE37" s="304"/>
      <c r="AF37" s="304"/>
      <c r="AH37" s="304"/>
      <c r="AN37" s="304"/>
      <c r="AO37" s="304"/>
      <c r="AQ37" s="304"/>
      <c r="AR37" s="304"/>
      <c r="AS37" s="304"/>
      <c r="AT37" s="304"/>
      <c r="AU37" s="304"/>
      <c r="AV37" s="304"/>
      <c r="AW37" s="304"/>
      <c r="AX37" s="304"/>
      <c r="AY37" s="304"/>
      <c r="AZ37" s="304"/>
      <c r="BA37" s="304"/>
      <c r="BB37" s="304"/>
      <c r="BC37" s="304"/>
      <c r="BK37" s="304"/>
      <c r="BL37" s="304"/>
      <c r="BM37" s="304"/>
      <c r="BO37" s="304"/>
      <c r="BP37" s="304"/>
      <c r="BR37" s="37"/>
      <c r="BS37" s="21"/>
      <c r="BT37" s="304"/>
      <c r="BU37" s="304"/>
      <c r="BV37" s="304"/>
      <c r="BW37" s="1131"/>
      <c r="BX37" s="1131"/>
      <c r="BY37" s="21"/>
    </row>
    <row r="38" spans="3:77" s="305" customFormat="1" ht="21.75" customHeight="1">
      <c r="C38" s="1135"/>
      <c r="D38" s="1136"/>
      <c r="E38" s="1136"/>
      <c r="F38" s="1129"/>
      <c r="K38" s="304"/>
      <c r="L38" s="304"/>
      <c r="M38" s="304"/>
      <c r="N38" s="304"/>
      <c r="P38" s="304"/>
      <c r="R38" s="304"/>
      <c r="S38" s="304"/>
      <c r="T38" s="304"/>
      <c r="V38" s="304"/>
      <c r="W38" s="304"/>
      <c r="X38" s="304"/>
      <c r="Y38" s="304"/>
      <c r="Z38" s="1130"/>
      <c r="AB38" s="304"/>
      <c r="AC38" s="304"/>
      <c r="AD38" s="304"/>
      <c r="AE38" s="304"/>
      <c r="AF38" s="304"/>
      <c r="AH38" s="304"/>
      <c r="AN38" s="304"/>
      <c r="AO38" s="304"/>
      <c r="AQ38" s="304"/>
      <c r="AR38" s="304"/>
      <c r="AS38" s="304"/>
      <c r="AT38" s="304"/>
      <c r="AU38" s="304"/>
      <c r="AV38" s="304"/>
      <c r="AW38" s="304"/>
      <c r="AX38" s="304"/>
      <c r="AY38" s="304"/>
      <c r="AZ38" s="304"/>
      <c r="BA38" s="304"/>
      <c r="BB38" s="304"/>
      <c r="BC38" s="304"/>
      <c r="BK38" s="304"/>
      <c r="BL38" s="304"/>
      <c r="BM38" s="304"/>
      <c r="BO38" s="304"/>
      <c r="BP38" s="304"/>
      <c r="BR38" s="37"/>
      <c r="BS38" s="21"/>
      <c r="BT38" s="304"/>
      <c r="BU38" s="304"/>
      <c r="BV38" s="304"/>
      <c r="BW38" s="1131"/>
      <c r="BX38" s="1131"/>
      <c r="BY38" s="21"/>
    </row>
    <row r="39" spans="1:77" ht="24" customHeight="1">
      <c r="A39" s="1615" t="s">
        <v>885</v>
      </c>
      <c r="B39" s="1615" t="s">
        <v>422</v>
      </c>
      <c r="C39" s="1615"/>
      <c r="D39" s="1616" t="str">
        <f>"鑑第岐"&amp;'評価書作成'!B13&amp;"号・"&amp;C4&amp;"号物件"</f>
        <v>鑑第岐99999号・1号物件</v>
      </c>
      <c r="E39" s="1617"/>
      <c r="F39" s="1615" t="s">
        <v>1138</v>
      </c>
      <c r="G39" s="1615" t="s">
        <v>422</v>
      </c>
      <c r="H39" s="1615"/>
      <c r="I39" s="1616" t="e">
        <f>"鑑第岐"&amp;'評価書作成'!B13&amp;"号・"&amp;#REF!&amp;"号物件"</f>
        <v>#REF!</v>
      </c>
      <c r="J39" s="1617"/>
      <c r="K39" s="1615" t="s">
        <v>1139</v>
      </c>
      <c r="L39" s="1615" t="s">
        <v>422</v>
      </c>
      <c r="M39" s="1615"/>
      <c r="N39" s="1616" t="e">
        <f>"鑑第岐"&amp;'評価書作成'!B13&amp;"号・"&amp;#REF!&amp;"号物件"</f>
        <v>#REF!</v>
      </c>
      <c r="O39" s="1617"/>
      <c r="P39" s="1615" t="s">
        <v>1140</v>
      </c>
      <c r="Q39" s="1615" t="s">
        <v>422</v>
      </c>
      <c r="R39" s="1615"/>
      <c r="S39" s="1616" t="e">
        <f>"鑑第岐"&amp;'評価書作成'!B13&amp;"号・"&amp;#REF!&amp;"号物件"</f>
        <v>#REF!</v>
      </c>
      <c r="T39" s="1617"/>
      <c r="U39" s="1615" t="s">
        <v>1141</v>
      </c>
      <c r="V39" s="1615" t="s">
        <v>422</v>
      </c>
      <c r="W39" s="1615"/>
      <c r="X39" s="1616" t="e">
        <f>"鑑第岐"&amp;'評価書作成'!B13&amp;"号・"&amp;#REF!&amp;"号物件"</f>
        <v>#REF!</v>
      </c>
      <c r="Y39" s="1618"/>
      <c r="Z39" s="1619"/>
      <c r="AA39" s="1138"/>
      <c r="AF39" s="1137"/>
      <c r="AG39" s="1138"/>
      <c r="AH39" s="1137"/>
      <c r="AM39" s="1138"/>
      <c r="AO39" s="1137"/>
      <c r="AP39" s="1138"/>
      <c r="BC39" s="1137"/>
      <c r="BD39" s="1137"/>
      <c r="BI39" s="1137"/>
      <c r="BJ39" s="1138"/>
      <c r="BM39" s="1137"/>
      <c r="BN39" s="1138"/>
      <c r="BP39" s="1137"/>
      <c r="BQ39" s="1139"/>
      <c r="BR39" s="1140"/>
      <c r="BS39" s="1138"/>
      <c r="BV39" s="1141"/>
      <c r="BX39" s="1140"/>
      <c r="BY39" s="1137"/>
    </row>
    <row r="40" spans="1:77" ht="24" customHeight="1" thickBot="1">
      <c r="A40" s="1615"/>
      <c r="B40" s="1615" t="str">
        <f>'評価書作成'!D13&amp;D4</f>
        <v>岐阜市長良山田町９丁目９９</v>
      </c>
      <c r="C40" s="1615"/>
      <c r="D40" s="1620"/>
      <c r="E40" s="1621"/>
      <c r="F40" s="1615"/>
      <c r="G40" s="1615" t="e">
        <f>'評価書作成'!D13&amp;#REF!</f>
        <v>#REF!</v>
      </c>
      <c r="H40" s="1615"/>
      <c r="I40" s="1620"/>
      <c r="J40" s="1621"/>
      <c r="K40" s="1615"/>
      <c r="L40" s="1615" t="e">
        <f>'評価書作成'!D13&amp;#REF!</f>
        <v>#REF!</v>
      </c>
      <c r="M40" s="1615"/>
      <c r="N40" s="1620"/>
      <c r="O40" s="1621"/>
      <c r="P40" s="1615"/>
      <c r="Q40" s="1615" t="e">
        <f>'評価書作成'!D13&amp;#REF!</f>
        <v>#REF!</v>
      </c>
      <c r="R40" s="1615"/>
      <c r="S40" s="1620"/>
      <c r="T40" s="1621"/>
      <c r="U40" s="1615"/>
      <c r="V40" s="1615" t="e">
        <f>'評価書作成'!D13&amp;#REF!</f>
        <v>#REF!</v>
      </c>
      <c r="W40" s="1615"/>
      <c r="X40" s="1620"/>
      <c r="Y40" s="1622"/>
      <c r="Z40" s="1619"/>
      <c r="AA40" s="1138"/>
      <c r="AF40" s="1137"/>
      <c r="AG40" s="1138"/>
      <c r="AH40" s="1137"/>
      <c r="AM40" s="1138"/>
      <c r="AO40" s="1137"/>
      <c r="AP40" s="1138"/>
      <c r="BC40" s="1137"/>
      <c r="BD40" s="1137"/>
      <c r="BI40" s="1137"/>
      <c r="BJ40" s="1138"/>
      <c r="BM40" s="1137"/>
      <c r="BN40" s="1138"/>
      <c r="BP40" s="1137"/>
      <c r="BQ40" s="1139"/>
      <c r="BR40" s="1140"/>
      <c r="BS40" s="1138"/>
      <c r="BV40" s="1141"/>
      <c r="BX40" s="1140"/>
      <c r="BY40" s="1137"/>
    </row>
    <row r="41" spans="1:77" ht="24" customHeight="1" thickTop="1">
      <c r="A41" s="1623" t="s">
        <v>423</v>
      </c>
      <c r="B41" s="1624" t="s">
        <v>559</v>
      </c>
      <c r="C41" s="1625">
        <f>G4</f>
        <v>255.69</v>
      </c>
      <c r="D41" s="1626" t="s">
        <v>1099</v>
      </c>
      <c r="E41" s="1627" t="str">
        <f>VLOOKUP(X4,接面状況,2)</f>
        <v>中間画地</v>
      </c>
      <c r="F41" s="1623" t="s">
        <v>423</v>
      </c>
      <c r="G41" s="1624" t="s">
        <v>559</v>
      </c>
      <c r="H41" s="1625" t="e">
        <f>#REF!</f>
        <v>#REF!</v>
      </c>
      <c r="I41" s="1626" t="s">
        <v>1099</v>
      </c>
      <c r="J41" s="1627" t="e">
        <f>VLOOKUP(#REF!,接面状況,2)</f>
        <v>#REF!</v>
      </c>
      <c r="K41" s="1623" t="s">
        <v>423</v>
      </c>
      <c r="L41" s="1624" t="s">
        <v>559</v>
      </c>
      <c r="M41" s="1625" t="e">
        <f>#REF!</f>
        <v>#REF!</v>
      </c>
      <c r="N41" s="1626" t="s">
        <v>1099</v>
      </c>
      <c r="O41" s="1627" t="e">
        <f>VLOOKUP(#REF!,接面状況,2)</f>
        <v>#REF!</v>
      </c>
      <c r="P41" s="1623" t="s">
        <v>423</v>
      </c>
      <c r="Q41" s="1624" t="s">
        <v>559</v>
      </c>
      <c r="R41" s="1625" t="e">
        <f>#REF!</f>
        <v>#REF!</v>
      </c>
      <c r="S41" s="1626" t="s">
        <v>1099</v>
      </c>
      <c r="T41" s="1627" t="e">
        <f>VLOOKUP(#REF!,接面状況,2)</f>
        <v>#REF!</v>
      </c>
      <c r="U41" s="1623" t="s">
        <v>423</v>
      </c>
      <c r="V41" s="1624" t="s">
        <v>559</v>
      </c>
      <c r="W41" s="1625" t="e">
        <f>#REF!</f>
        <v>#REF!</v>
      </c>
      <c r="X41" s="1626" t="s">
        <v>1099</v>
      </c>
      <c r="Y41" s="1628" t="e">
        <f>VLOOKUP(#REF!,接面状況,2)</f>
        <v>#REF!</v>
      </c>
      <c r="Z41" s="1619"/>
      <c r="AA41" s="1138"/>
      <c r="AF41" s="1137"/>
      <c r="AG41" s="1138"/>
      <c r="AH41" s="1137"/>
      <c r="AM41" s="1138"/>
      <c r="AO41" s="1137"/>
      <c r="AP41" s="1138"/>
      <c r="BC41" s="1137"/>
      <c r="BD41" s="1137"/>
      <c r="BI41" s="1137"/>
      <c r="BJ41" s="1138"/>
      <c r="BM41" s="1137"/>
      <c r="BN41" s="1138"/>
      <c r="BP41" s="1137"/>
      <c r="BQ41" s="1139"/>
      <c r="BR41" s="1140"/>
      <c r="BS41" s="1138"/>
      <c r="BV41" s="1141"/>
      <c r="BX41" s="1140"/>
      <c r="BY41" s="1137"/>
    </row>
    <row r="42" spans="1:77" ht="24" customHeight="1">
      <c r="A42" s="1629" t="s">
        <v>127</v>
      </c>
      <c r="B42" s="1614" t="s">
        <v>707</v>
      </c>
      <c r="C42" s="1630" t="str">
        <f>VLOOKUP(O4,街路方位,2)&amp;"側"</f>
        <v>南側</v>
      </c>
      <c r="D42" s="1631" t="s">
        <v>1104</v>
      </c>
      <c r="E42" s="1632" t="str">
        <f>IF(AA4=0,"ｾｯﾄﾊﾞｯｸ無し",AA4)</f>
        <v>ｾｯﾄﾊﾞｯｸ無し</v>
      </c>
      <c r="F42" s="1629" t="s">
        <v>127</v>
      </c>
      <c r="G42" s="1614" t="s">
        <v>707</v>
      </c>
      <c r="H42" s="1630" t="e">
        <f>VLOOKUP(#REF!,街路方位,2)&amp;"側"</f>
        <v>#REF!</v>
      </c>
      <c r="I42" s="1631" t="s">
        <v>1104</v>
      </c>
      <c r="J42" s="1632" t="e">
        <f>IF(#REF!=0,"ｾｯﾄﾊﾞｯｸ無し",#REF!)</f>
        <v>#REF!</v>
      </c>
      <c r="K42" s="1629" t="s">
        <v>127</v>
      </c>
      <c r="L42" s="1614" t="s">
        <v>707</v>
      </c>
      <c r="M42" s="1630" t="e">
        <f>VLOOKUP(#REF!,街路方位,2)&amp;"側"</f>
        <v>#REF!</v>
      </c>
      <c r="N42" s="1631" t="s">
        <v>1104</v>
      </c>
      <c r="O42" s="1632" t="e">
        <f>IF(#REF!=0,"ｾｯﾄﾊﾞｯｸ無し",#REF!)</f>
        <v>#REF!</v>
      </c>
      <c r="P42" s="1629" t="s">
        <v>127</v>
      </c>
      <c r="Q42" s="1614" t="s">
        <v>707</v>
      </c>
      <c r="R42" s="1630" t="e">
        <f>VLOOKUP(#REF!,街路方位,2)&amp;"側"</f>
        <v>#REF!</v>
      </c>
      <c r="S42" s="1631" t="s">
        <v>1104</v>
      </c>
      <c r="T42" s="1632" t="e">
        <f>IF(#REF!=0,"ｾｯﾄﾊﾞｯｸ無し",#REF!)</f>
        <v>#REF!</v>
      </c>
      <c r="U42" s="1629" t="s">
        <v>127</v>
      </c>
      <c r="V42" s="1614" t="s">
        <v>707</v>
      </c>
      <c r="W42" s="1630" t="e">
        <f>VLOOKUP(#REF!,街路方位,2)&amp;"側"</f>
        <v>#REF!</v>
      </c>
      <c r="X42" s="1631" t="s">
        <v>1104</v>
      </c>
      <c r="Y42" s="1633" t="e">
        <f>IF(#REF!=0,"ｾｯﾄﾊﾞｯｸ無し",#REF!)</f>
        <v>#REF!</v>
      </c>
      <c r="Z42" s="1619"/>
      <c r="AA42" s="1138"/>
      <c r="AF42" s="1137"/>
      <c r="AG42" s="1138"/>
      <c r="AH42" s="1137"/>
      <c r="AM42" s="1138"/>
      <c r="AO42" s="1137"/>
      <c r="AP42" s="1138"/>
      <c r="BC42" s="1137"/>
      <c r="BD42" s="1137"/>
      <c r="BI42" s="1137"/>
      <c r="BJ42" s="1138"/>
      <c r="BM42" s="1137"/>
      <c r="BN42" s="1138"/>
      <c r="BP42" s="1137"/>
      <c r="BQ42" s="1139"/>
      <c r="BR42" s="1140"/>
      <c r="BS42" s="1138"/>
      <c r="BV42" s="1141"/>
      <c r="BX42" s="1140"/>
      <c r="BY42" s="1137"/>
    </row>
    <row r="43" spans="1:77" ht="24" customHeight="1">
      <c r="A43" s="1634"/>
      <c r="B43" s="1614" t="s">
        <v>533</v>
      </c>
      <c r="C43" s="1635" t="str">
        <f>IF(Q4=0,"等高",Q4)</f>
        <v>等高</v>
      </c>
      <c r="D43" s="1614" t="s">
        <v>1248</v>
      </c>
      <c r="E43" s="1636" t="str">
        <f>VLOOKUP(AN4,日照・地勢,2)</f>
        <v>普通</v>
      </c>
      <c r="F43" s="1634"/>
      <c r="G43" s="1614" t="s">
        <v>533</v>
      </c>
      <c r="H43" s="1635" t="e">
        <f>IF(#REF!=0,"等高",#REF!)</f>
        <v>#REF!</v>
      </c>
      <c r="I43" s="1614" t="s">
        <v>1248</v>
      </c>
      <c r="J43" s="1636" t="e">
        <f>VLOOKUP(#REF!,日照・地勢,2)</f>
        <v>#REF!</v>
      </c>
      <c r="K43" s="1634"/>
      <c r="L43" s="1614" t="s">
        <v>533</v>
      </c>
      <c r="M43" s="1635" t="e">
        <f>IF(#REF!=0,"等高",#REF!)</f>
        <v>#REF!</v>
      </c>
      <c r="N43" s="1614" t="s">
        <v>1248</v>
      </c>
      <c r="O43" s="1636" t="e">
        <f>VLOOKUP(#REF!,日照・地勢,2)</f>
        <v>#REF!</v>
      </c>
      <c r="P43" s="1634"/>
      <c r="Q43" s="1614" t="s">
        <v>533</v>
      </c>
      <c r="R43" s="1635" t="e">
        <f>IF(#REF!=0,"等高",#REF!)</f>
        <v>#REF!</v>
      </c>
      <c r="S43" s="1614" t="s">
        <v>1248</v>
      </c>
      <c r="T43" s="1636" t="e">
        <f>VLOOKUP(#REF!,日照・地勢,2)</f>
        <v>#REF!</v>
      </c>
      <c r="U43" s="1634"/>
      <c r="V43" s="1614" t="s">
        <v>533</v>
      </c>
      <c r="W43" s="1635" t="e">
        <f>IF(#REF!=0,"等高",#REF!)</f>
        <v>#REF!</v>
      </c>
      <c r="X43" s="1614" t="s">
        <v>1248</v>
      </c>
      <c r="Y43" s="1637" t="e">
        <f>VLOOKUP(#REF!,日照・地勢,2)</f>
        <v>#REF!</v>
      </c>
      <c r="Z43" s="1619"/>
      <c r="AA43" s="1138"/>
      <c r="AF43" s="1137"/>
      <c r="AG43" s="1138"/>
      <c r="AH43" s="1137"/>
      <c r="AM43" s="1138"/>
      <c r="AO43" s="1137"/>
      <c r="AP43" s="1138"/>
      <c r="BC43" s="1137"/>
      <c r="BD43" s="1137"/>
      <c r="BI43" s="1137"/>
      <c r="BJ43" s="1138"/>
      <c r="BM43" s="1137"/>
      <c r="BN43" s="1138"/>
      <c r="BP43" s="1137"/>
      <c r="BQ43" s="1139"/>
      <c r="BR43" s="1140"/>
      <c r="BS43" s="1138"/>
      <c r="BV43" s="1141"/>
      <c r="BX43" s="1140"/>
      <c r="BY43" s="1137"/>
    </row>
    <row r="44" spans="1:77" ht="24" customHeight="1">
      <c r="A44" s="1634"/>
      <c r="B44" s="1614" t="s">
        <v>1249</v>
      </c>
      <c r="C44" s="1638">
        <f>AB4</f>
        <v>9.8</v>
      </c>
      <c r="D44" s="1614" t="s">
        <v>311</v>
      </c>
      <c r="E44" s="1636" t="str">
        <f>VLOOKUP(AO4,日照・地勢,2)</f>
        <v>普通</v>
      </c>
      <c r="F44" s="1634"/>
      <c r="G44" s="1614" t="s">
        <v>1249</v>
      </c>
      <c r="H44" s="1638" t="e">
        <f>#REF!</f>
        <v>#REF!</v>
      </c>
      <c r="I44" s="1614" t="s">
        <v>311</v>
      </c>
      <c r="J44" s="1636" t="e">
        <f>VLOOKUP(#REF!,日照・地勢,2)</f>
        <v>#REF!</v>
      </c>
      <c r="K44" s="1634"/>
      <c r="L44" s="1614" t="s">
        <v>1249</v>
      </c>
      <c r="M44" s="1638" t="e">
        <f>#REF!</f>
        <v>#REF!</v>
      </c>
      <c r="N44" s="1614" t="s">
        <v>311</v>
      </c>
      <c r="O44" s="1636" t="e">
        <f>VLOOKUP(#REF!,日照・地勢,2)</f>
        <v>#REF!</v>
      </c>
      <c r="P44" s="1634"/>
      <c r="Q44" s="1614" t="s">
        <v>1249</v>
      </c>
      <c r="R44" s="1638" t="e">
        <f>#REF!</f>
        <v>#REF!</v>
      </c>
      <c r="S44" s="1614" t="s">
        <v>311</v>
      </c>
      <c r="T44" s="1636" t="e">
        <f>VLOOKUP(#REF!,日照・地勢,2)</f>
        <v>#REF!</v>
      </c>
      <c r="U44" s="1634"/>
      <c r="V44" s="1614" t="s">
        <v>1249</v>
      </c>
      <c r="W44" s="1638" t="e">
        <f>#REF!</f>
        <v>#REF!</v>
      </c>
      <c r="X44" s="1614" t="s">
        <v>311</v>
      </c>
      <c r="Y44" s="1637" t="e">
        <f>VLOOKUP(#REF!,日照・地勢,2)</f>
        <v>#REF!</v>
      </c>
      <c r="Z44" s="1619"/>
      <c r="AA44" s="1138"/>
      <c r="AF44" s="1137"/>
      <c r="AG44" s="1138"/>
      <c r="AH44" s="1137"/>
      <c r="AM44" s="1138"/>
      <c r="AO44" s="1137"/>
      <c r="AP44" s="1138"/>
      <c r="BC44" s="1137"/>
      <c r="BD44" s="1137"/>
      <c r="BI44" s="1137"/>
      <c r="BJ44" s="1138"/>
      <c r="BM44" s="1137"/>
      <c r="BN44" s="1138"/>
      <c r="BP44" s="1137"/>
      <c r="BQ44" s="1139"/>
      <c r="BR44" s="1140"/>
      <c r="BS44" s="1138"/>
      <c r="BV44" s="1141"/>
      <c r="BX44" s="1140"/>
      <c r="BY44" s="1137"/>
    </row>
    <row r="45" spans="1:77" ht="24" customHeight="1">
      <c r="A45" s="1634"/>
      <c r="B45" s="1614" t="s">
        <v>381</v>
      </c>
      <c r="C45" s="1638">
        <f>AC4</f>
        <v>22.8</v>
      </c>
      <c r="D45" s="1949" t="s">
        <v>934</v>
      </c>
      <c r="E45" s="1951" t="str">
        <f>AP4</f>
        <v>農地・空地も介在する住宅地域</v>
      </c>
      <c r="F45" s="1634"/>
      <c r="G45" s="1614" t="s">
        <v>381</v>
      </c>
      <c r="H45" s="1638" t="e">
        <f>#REF!</f>
        <v>#REF!</v>
      </c>
      <c r="I45" s="1949" t="s">
        <v>934</v>
      </c>
      <c r="J45" s="1951" t="e">
        <f>#REF!</f>
        <v>#REF!</v>
      </c>
      <c r="K45" s="1634"/>
      <c r="L45" s="1614" t="s">
        <v>381</v>
      </c>
      <c r="M45" s="1638" t="e">
        <f>#REF!</f>
        <v>#REF!</v>
      </c>
      <c r="N45" s="1949" t="s">
        <v>934</v>
      </c>
      <c r="O45" s="1951" t="e">
        <f>#REF!</f>
        <v>#REF!</v>
      </c>
      <c r="P45" s="1634"/>
      <c r="Q45" s="1614" t="s">
        <v>381</v>
      </c>
      <c r="R45" s="1638" t="e">
        <f>#REF!</f>
        <v>#REF!</v>
      </c>
      <c r="S45" s="1949" t="s">
        <v>934</v>
      </c>
      <c r="T45" s="1951" t="e">
        <f>#REF!</f>
        <v>#REF!</v>
      </c>
      <c r="U45" s="1634"/>
      <c r="V45" s="1614" t="s">
        <v>381</v>
      </c>
      <c r="W45" s="1638" t="e">
        <f>#REF!</f>
        <v>#REF!</v>
      </c>
      <c r="X45" s="1614" t="s">
        <v>934</v>
      </c>
      <c r="Y45" s="1639" t="e">
        <f>#REF!</f>
        <v>#REF!</v>
      </c>
      <c r="Z45" s="1619"/>
      <c r="AA45" s="1138"/>
      <c r="AF45" s="1137"/>
      <c r="AG45" s="1138"/>
      <c r="AH45" s="1137"/>
      <c r="AM45" s="1138"/>
      <c r="AO45" s="1137"/>
      <c r="AP45" s="1138"/>
      <c r="BC45" s="1137"/>
      <c r="BD45" s="1137"/>
      <c r="BI45" s="1137"/>
      <c r="BJ45" s="1138"/>
      <c r="BM45" s="1137"/>
      <c r="BN45" s="1138"/>
      <c r="BP45" s="1137"/>
      <c r="BQ45" s="1139"/>
      <c r="BR45" s="1140"/>
      <c r="BS45" s="1138"/>
      <c r="BV45" s="1141"/>
      <c r="BX45" s="1140"/>
      <c r="BY45" s="1137"/>
    </row>
    <row r="46" spans="1:77" ht="24" customHeight="1">
      <c r="A46" s="1634"/>
      <c r="B46" s="1614" t="s">
        <v>436</v>
      </c>
      <c r="C46" s="1630" t="str">
        <f>VLOOKUP(AD4,画地形状,2)</f>
        <v>ほぼ長方形</v>
      </c>
      <c r="D46" s="1953"/>
      <c r="E46" s="1954"/>
      <c r="F46" s="1634"/>
      <c r="G46" s="1641" t="s">
        <v>436</v>
      </c>
      <c r="H46" s="1642" t="e">
        <f>VLOOKUP(#REF!,画地形状,2)</f>
        <v>#REF!</v>
      </c>
      <c r="I46" s="1950"/>
      <c r="J46" s="1952"/>
      <c r="K46" s="1634"/>
      <c r="L46" s="1641" t="s">
        <v>436</v>
      </c>
      <c r="M46" s="1642" t="e">
        <f>VLOOKUP(#REF!,画地形状,2)</f>
        <v>#REF!</v>
      </c>
      <c r="N46" s="1950"/>
      <c r="O46" s="1952"/>
      <c r="P46" s="1634"/>
      <c r="Q46" s="1641" t="s">
        <v>436</v>
      </c>
      <c r="R46" s="1642" t="e">
        <f>VLOOKUP(#REF!,画地形状,2)</f>
        <v>#REF!</v>
      </c>
      <c r="S46" s="1950"/>
      <c r="T46" s="1952"/>
      <c r="U46" s="1634"/>
      <c r="V46" s="1641" t="s">
        <v>436</v>
      </c>
      <c r="W46" s="1642" t="e">
        <f>VLOOKUP(#REF!,画地形状,2)</f>
        <v>#REF!</v>
      </c>
      <c r="X46" s="1643"/>
      <c r="Y46" s="1644"/>
      <c r="Z46" s="1619"/>
      <c r="AA46" s="1138"/>
      <c r="AF46" s="1137"/>
      <c r="AG46" s="1138"/>
      <c r="AH46" s="1137"/>
      <c r="AM46" s="1138"/>
      <c r="AO46" s="1137"/>
      <c r="AP46" s="1138"/>
      <c r="BC46" s="1137"/>
      <c r="BD46" s="1137"/>
      <c r="BI46" s="1137"/>
      <c r="BJ46" s="1138"/>
      <c r="BM46" s="1137"/>
      <c r="BN46" s="1138"/>
      <c r="BP46" s="1137"/>
      <c r="BQ46" s="1139"/>
      <c r="BR46" s="1140"/>
      <c r="BS46" s="1138"/>
      <c r="BV46" s="1141"/>
      <c r="BX46" s="1140"/>
      <c r="BY46" s="1137"/>
    </row>
    <row r="47" spans="1:77" ht="24" customHeight="1">
      <c r="A47" s="1645" t="s">
        <v>128</v>
      </c>
      <c r="B47" s="1646" t="s">
        <v>129</v>
      </c>
      <c r="C47" s="1647">
        <f>'評価書作成'!B30</f>
        <v>240</v>
      </c>
      <c r="D47" s="1646" t="s">
        <v>130</v>
      </c>
      <c r="E47" s="1648">
        <f>'評価書作成'!D30</f>
        <v>12</v>
      </c>
      <c r="F47" s="1645" t="s">
        <v>128</v>
      </c>
      <c r="G47" s="1646" t="s">
        <v>129</v>
      </c>
      <c r="H47" s="1647">
        <f>'評価書作成'!B30</f>
        <v>240</v>
      </c>
      <c r="I47" s="1646" t="s">
        <v>130</v>
      </c>
      <c r="J47" s="1648">
        <f>'評価書作成'!D30</f>
        <v>12</v>
      </c>
      <c r="K47" s="1645" t="s">
        <v>128</v>
      </c>
      <c r="L47" s="1646" t="s">
        <v>129</v>
      </c>
      <c r="M47" s="1647">
        <f>'評価書作成'!B30</f>
        <v>240</v>
      </c>
      <c r="N47" s="1646" t="s">
        <v>130</v>
      </c>
      <c r="O47" s="1648">
        <f>'評価書作成'!D30</f>
        <v>12</v>
      </c>
      <c r="P47" s="1645" t="s">
        <v>128</v>
      </c>
      <c r="Q47" s="1646" t="s">
        <v>129</v>
      </c>
      <c r="R47" s="1647">
        <f>'評価書作成'!B30</f>
        <v>240</v>
      </c>
      <c r="S47" s="1646" t="s">
        <v>130</v>
      </c>
      <c r="T47" s="1648">
        <f>'評価書作成'!D30</f>
        <v>12</v>
      </c>
      <c r="U47" s="1645" t="s">
        <v>128</v>
      </c>
      <c r="V47" s="1646" t="s">
        <v>129</v>
      </c>
      <c r="W47" s="1647">
        <f>'評価書作成'!B30</f>
        <v>240</v>
      </c>
      <c r="X47" s="1646" t="s">
        <v>130</v>
      </c>
      <c r="Y47" s="1648">
        <f>'評価書作成'!D30</f>
        <v>12</v>
      </c>
      <c r="Z47" s="1619"/>
      <c r="AA47" s="1138"/>
      <c r="AF47" s="1137"/>
      <c r="AG47" s="1138"/>
      <c r="AH47" s="1137"/>
      <c r="AM47" s="1138"/>
      <c r="AO47" s="1137"/>
      <c r="AP47" s="1138"/>
      <c r="BC47" s="1137"/>
      <c r="BD47" s="1137"/>
      <c r="BI47" s="1137"/>
      <c r="BJ47" s="1138"/>
      <c r="BM47" s="1137"/>
      <c r="BN47" s="1138"/>
      <c r="BP47" s="1137"/>
      <c r="BQ47" s="1139"/>
      <c r="BR47" s="1140"/>
      <c r="BS47" s="1138"/>
      <c r="BV47" s="1141"/>
      <c r="BX47" s="1140"/>
      <c r="BY47" s="1137"/>
    </row>
    <row r="48" spans="1:77" ht="24" customHeight="1">
      <c r="A48" s="1634"/>
      <c r="B48" s="1640" t="s">
        <v>131</v>
      </c>
      <c r="C48" s="1649" t="str">
        <f>'評価書作成'!H30</f>
        <v>長方形地</v>
      </c>
      <c r="D48" s="1640" t="s">
        <v>132</v>
      </c>
      <c r="E48" s="1650">
        <f>'評価書作成'!F30</f>
        <v>20</v>
      </c>
      <c r="F48" s="1634"/>
      <c r="G48" s="1640" t="s">
        <v>131</v>
      </c>
      <c r="H48" s="1649" t="str">
        <f>'評価書作成'!H30</f>
        <v>長方形地</v>
      </c>
      <c r="I48" s="1640" t="s">
        <v>132</v>
      </c>
      <c r="J48" s="1650">
        <f>'評価書作成'!F30</f>
        <v>20</v>
      </c>
      <c r="K48" s="1634"/>
      <c r="L48" s="1640" t="s">
        <v>131</v>
      </c>
      <c r="M48" s="1649" t="str">
        <f>'評価書作成'!H30</f>
        <v>長方形地</v>
      </c>
      <c r="N48" s="1640" t="s">
        <v>132</v>
      </c>
      <c r="O48" s="1650">
        <f>'評価書作成'!F30</f>
        <v>20</v>
      </c>
      <c r="P48" s="1634"/>
      <c r="Q48" s="1640" t="s">
        <v>131</v>
      </c>
      <c r="R48" s="1649" t="str">
        <f>'評価書作成'!H30</f>
        <v>長方形地</v>
      </c>
      <c r="S48" s="1640" t="s">
        <v>132</v>
      </c>
      <c r="T48" s="1650">
        <f>'評価書作成'!F30</f>
        <v>20</v>
      </c>
      <c r="U48" s="1634"/>
      <c r="V48" s="1640" t="s">
        <v>131</v>
      </c>
      <c r="W48" s="1649" t="str">
        <f>'評価書作成'!H30</f>
        <v>長方形地</v>
      </c>
      <c r="X48" s="1640" t="s">
        <v>132</v>
      </c>
      <c r="Y48" s="1650">
        <f>'評価書作成'!F30</f>
        <v>20</v>
      </c>
      <c r="Z48" s="1619"/>
      <c r="AA48" s="1138"/>
      <c r="AF48" s="1137"/>
      <c r="AG48" s="1138"/>
      <c r="AH48" s="1137"/>
      <c r="AM48" s="1138"/>
      <c r="AO48" s="1137"/>
      <c r="AP48" s="1138"/>
      <c r="BC48" s="1137"/>
      <c r="BD48" s="1137"/>
      <c r="BI48" s="1137"/>
      <c r="BJ48" s="1138"/>
      <c r="BM48" s="1137"/>
      <c r="BN48" s="1138"/>
      <c r="BP48" s="1137"/>
      <c r="BQ48" s="1139"/>
      <c r="BR48" s="1140"/>
      <c r="BS48" s="1138"/>
      <c r="BV48" s="1141"/>
      <c r="BX48" s="1140"/>
      <c r="BY48" s="1137"/>
    </row>
    <row r="49" spans="1:77" ht="24" customHeight="1">
      <c r="A49" s="1645" t="s">
        <v>968</v>
      </c>
      <c r="B49" s="1646" t="s">
        <v>575</v>
      </c>
      <c r="C49" s="1651" t="str">
        <f>VLOOKUP(M4,街路種別,2)</f>
        <v>市道</v>
      </c>
      <c r="D49" s="1646" t="s">
        <v>1075</v>
      </c>
      <c r="E49" s="1652" t="str">
        <f>VLOOKUP(N4,系統連続性,2)</f>
        <v>行止道</v>
      </c>
      <c r="F49" s="1645" t="s">
        <v>968</v>
      </c>
      <c r="G49" s="1646" t="s">
        <v>575</v>
      </c>
      <c r="H49" s="1651" t="e">
        <f>VLOOKUP(#REF!,街路種別,2)</f>
        <v>#REF!</v>
      </c>
      <c r="I49" s="1646" t="s">
        <v>1075</v>
      </c>
      <c r="J49" s="1652" t="e">
        <f>VLOOKUP(#REF!,系統連続性,2)</f>
        <v>#REF!</v>
      </c>
      <c r="K49" s="1645" t="s">
        <v>968</v>
      </c>
      <c r="L49" s="1646" t="s">
        <v>575</v>
      </c>
      <c r="M49" s="1651" t="e">
        <f>VLOOKUP(#REF!,街路種別,2)</f>
        <v>#REF!</v>
      </c>
      <c r="N49" s="1646" t="s">
        <v>1075</v>
      </c>
      <c r="O49" s="1652" t="e">
        <f>VLOOKUP(#REF!,系統連続性,2)</f>
        <v>#REF!</v>
      </c>
      <c r="P49" s="1645" t="s">
        <v>968</v>
      </c>
      <c r="Q49" s="1646" t="s">
        <v>575</v>
      </c>
      <c r="R49" s="1651" t="e">
        <f>VLOOKUP(#REF!,街路種別,2)</f>
        <v>#REF!</v>
      </c>
      <c r="S49" s="1646" t="s">
        <v>1075</v>
      </c>
      <c r="T49" s="1652" t="e">
        <f>VLOOKUP(#REF!,系統連続性,2)</f>
        <v>#REF!</v>
      </c>
      <c r="U49" s="1645" t="s">
        <v>968</v>
      </c>
      <c r="V49" s="1646" t="s">
        <v>575</v>
      </c>
      <c r="W49" s="1651" t="e">
        <f>VLOOKUP(#REF!,街路種別,2)</f>
        <v>#REF!</v>
      </c>
      <c r="X49" s="1646" t="s">
        <v>1075</v>
      </c>
      <c r="Y49" s="1653" t="e">
        <f>VLOOKUP(#REF!,系統連続性,2)</f>
        <v>#REF!</v>
      </c>
      <c r="Z49" s="1619"/>
      <c r="AA49" s="1138"/>
      <c r="AF49" s="1137"/>
      <c r="AG49" s="1138"/>
      <c r="AH49" s="1137"/>
      <c r="AM49" s="1138"/>
      <c r="AO49" s="1137"/>
      <c r="AP49" s="1138"/>
      <c r="BC49" s="1137"/>
      <c r="BD49" s="1137"/>
      <c r="BI49" s="1137"/>
      <c r="BJ49" s="1138"/>
      <c r="BM49" s="1137"/>
      <c r="BN49" s="1138"/>
      <c r="BP49" s="1137"/>
      <c r="BQ49" s="1139"/>
      <c r="BR49" s="1140"/>
      <c r="BS49" s="1138"/>
      <c r="BV49" s="1141"/>
      <c r="BX49" s="1140"/>
      <c r="BY49" s="1137"/>
    </row>
    <row r="50" spans="1:77" ht="24" customHeight="1">
      <c r="A50" s="1629" t="s">
        <v>127</v>
      </c>
      <c r="B50" s="1654" t="s">
        <v>969</v>
      </c>
      <c r="C50" s="1655">
        <f>P4</f>
        <v>5.5</v>
      </c>
      <c r="D50" s="1654" t="s">
        <v>970</v>
      </c>
      <c r="E50" s="1656" t="str">
        <f>IF(U4=0," ",VLOOKUP(T4,街路方位,2)&amp;"側 "&amp;U4&amp;" m")</f>
        <v> </v>
      </c>
      <c r="F50" s="1629" t="s">
        <v>127</v>
      </c>
      <c r="G50" s="1654" t="s">
        <v>969</v>
      </c>
      <c r="H50" s="1655" t="e">
        <f>#REF!</f>
        <v>#REF!</v>
      </c>
      <c r="I50" s="1654" t="s">
        <v>970</v>
      </c>
      <c r="J50" s="1656" t="e">
        <f>IF(#REF!=0," ",VLOOKUP(#REF!,街路方位,2)&amp;"側 "&amp;#REF!&amp;" m")</f>
        <v>#REF!</v>
      </c>
      <c r="K50" s="1629" t="s">
        <v>127</v>
      </c>
      <c r="L50" s="1654" t="s">
        <v>969</v>
      </c>
      <c r="M50" s="1655" t="e">
        <f>#REF!</f>
        <v>#REF!</v>
      </c>
      <c r="N50" s="1654" t="s">
        <v>970</v>
      </c>
      <c r="O50" s="1656" t="e">
        <f>IF(#REF!=0," ",VLOOKUP(#REF!,街路方位,2)&amp;"側 "&amp;#REF!&amp;" m")</f>
        <v>#REF!</v>
      </c>
      <c r="P50" s="1629" t="s">
        <v>127</v>
      </c>
      <c r="Q50" s="1654" t="s">
        <v>969</v>
      </c>
      <c r="R50" s="1655" t="e">
        <f>#REF!</f>
        <v>#REF!</v>
      </c>
      <c r="S50" s="1654" t="s">
        <v>970</v>
      </c>
      <c r="T50" s="1656" t="e">
        <f>IF(#REF!=0," ",VLOOKUP(#REF!,街路方位,2)&amp;"側 "&amp;#REF!&amp;" m")</f>
        <v>#REF!</v>
      </c>
      <c r="U50" s="1629" t="s">
        <v>127</v>
      </c>
      <c r="V50" s="1654" t="s">
        <v>969</v>
      </c>
      <c r="W50" s="1655" t="e">
        <f>#REF!</f>
        <v>#REF!</v>
      </c>
      <c r="X50" s="1654" t="s">
        <v>970</v>
      </c>
      <c r="Y50" s="1657" t="e">
        <f>IF(#REF!=0," ",VLOOKUP(#REF!,街路方位,2)&amp;"側 "&amp;#REF!&amp;" m")</f>
        <v>#REF!</v>
      </c>
      <c r="Z50" s="1619"/>
      <c r="AA50" s="1138"/>
      <c r="AF50" s="1137"/>
      <c r="AG50" s="1138"/>
      <c r="AH50" s="1137"/>
      <c r="AM50" s="1138"/>
      <c r="AO50" s="1137"/>
      <c r="AP50" s="1138"/>
      <c r="BC50" s="1137"/>
      <c r="BD50" s="1137"/>
      <c r="BI50" s="1137"/>
      <c r="BJ50" s="1138"/>
      <c r="BM50" s="1137"/>
      <c r="BN50" s="1138"/>
      <c r="BP50" s="1137"/>
      <c r="BQ50" s="1139"/>
      <c r="BR50" s="1140"/>
      <c r="BS50" s="1138"/>
      <c r="BV50" s="1141"/>
      <c r="BX50" s="1140"/>
      <c r="BY50" s="1137"/>
    </row>
    <row r="51" spans="1:77" ht="24" customHeight="1">
      <c r="A51" s="1629"/>
      <c r="B51" s="1654" t="s">
        <v>1336</v>
      </c>
      <c r="C51" s="1658" t="str">
        <f>VLOOKUP(R4,歩道有無,2)</f>
        <v>　</v>
      </c>
      <c r="D51" s="1654" t="s">
        <v>763</v>
      </c>
      <c r="E51" s="1656" t="str">
        <f>IF(W4=0," ",VLOOKUP(V4,街路方位,2)&amp;"側 "&amp;W4&amp;" m")</f>
        <v> </v>
      </c>
      <c r="F51" s="1629"/>
      <c r="G51" s="1654" t="s">
        <v>1336</v>
      </c>
      <c r="H51" s="1658" t="e">
        <f>VLOOKUP(#REF!,歩道有無,2)</f>
        <v>#REF!</v>
      </c>
      <c r="I51" s="1654" t="s">
        <v>763</v>
      </c>
      <c r="J51" s="1656" t="e">
        <f>IF(#REF!=0," ",VLOOKUP(#REF!,街路方位,2)&amp;"側 "&amp;#REF!&amp;" m")</f>
        <v>#REF!</v>
      </c>
      <c r="K51" s="1629"/>
      <c r="L51" s="1654" t="s">
        <v>1336</v>
      </c>
      <c r="M51" s="1658" t="e">
        <f>VLOOKUP(#REF!,歩道有無,2)</f>
        <v>#REF!</v>
      </c>
      <c r="N51" s="1654" t="s">
        <v>763</v>
      </c>
      <c r="O51" s="1656" t="e">
        <f>IF(#REF!=0," ",VLOOKUP(#REF!,街路方位,2)&amp;"側 "&amp;#REF!&amp;" m")</f>
        <v>#REF!</v>
      </c>
      <c r="P51" s="1629"/>
      <c r="Q51" s="1654" t="s">
        <v>1336</v>
      </c>
      <c r="R51" s="1658" t="e">
        <f>VLOOKUP(#REF!,歩道有無,2)</f>
        <v>#REF!</v>
      </c>
      <c r="S51" s="1654" t="s">
        <v>763</v>
      </c>
      <c r="T51" s="1656" t="e">
        <f>IF(#REF!=0," ",VLOOKUP(#REF!,街路方位,2)&amp;"側 "&amp;#REF!&amp;" m")</f>
        <v>#REF!</v>
      </c>
      <c r="U51" s="1629"/>
      <c r="V51" s="1654" t="s">
        <v>1336</v>
      </c>
      <c r="W51" s="1658" t="e">
        <f>VLOOKUP(#REF!,歩道有無,2)</f>
        <v>#REF!</v>
      </c>
      <c r="X51" s="1654" t="s">
        <v>763</v>
      </c>
      <c r="Y51" s="1657" t="e">
        <f>IF(#REF!=0," ",VLOOKUP(#REF!,街路方位,2)&amp;"側 "&amp;#REF!&amp;" m")</f>
        <v>#REF!</v>
      </c>
      <c r="Z51" s="1619"/>
      <c r="AA51" s="1138"/>
      <c r="AF51" s="1137"/>
      <c r="AG51" s="1138"/>
      <c r="AH51" s="1137"/>
      <c r="AM51" s="1138"/>
      <c r="AO51" s="1137"/>
      <c r="AP51" s="1138"/>
      <c r="BC51" s="1137"/>
      <c r="BD51" s="1137"/>
      <c r="BI51" s="1137"/>
      <c r="BJ51" s="1138"/>
      <c r="BM51" s="1137"/>
      <c r="BN51" s="1138"/>
      <c r="BP51" s="1137"/>
      <c r="BQ51" s="1139"/>
      <c r="BR51" s="1140"/>
      <c r="BS51" s="1138"/>
      <c r="BV51" s="1141"/>
      <c r="BX51" s="1140"/>
      <c r="BY51" s="1137"/>
    </row>
    <row r="52" spans="1:77" ht="24" customHeight="1">
      <c r="A52" s="1629"/>
      <c r="B52" s="1654" t="s">
        <v>764</v>
      </c>
      <c r="C52" s="1658" t="str">
        <f>VLOOKUP(S4,舗装状態,2)</f>
        <v>アスファルト</v>
      </c>
      <c r="D52" s="1643" t="s">
        <v>536</v>
      </c>
      <c r="E52" s="1656" t="s">
        <v>536</v>
      </c>
      <c r="F52" s="1629"/>
      <c r="G52" s="1654" t="s">
        <v>764</v>
      </c>
      <c r="H52" s="1658" t="e">
        <f>VLOOKUP(#REF!,舗装状態,2)</f>
        <v>#REF!</v>
      </c>
      <c r="I52" s="1643" t="s">
        <v>536</v>
      </c>
      <c r="J52" s="1656" t="s">
        <v>536</v>
      </c>
      <c r="K52" s="1629"/>
      <c r="L52" s="1654" t="s">
        <v>764</v>
      </c>
      <c r="M52" s="1658" t="e">
        <f>VLOOKUP(#REF!,舗装状態,2)</f>
        <v>#REF!</v>
      </c>
      <c r="N52" s="1643" t="s">
        <v>536</v>
      </c>
      <c r="O52" s="1656" t="s">
        <v>536</v>
      </c>
      <c r="P52" s="1629"/>
      <c r="Q52" s="1654" t="s">
        <v>764</v>
      </c>
      <c r="R52" s="1658" t="e">
        <f>VLOOKUP(#REF!,舗装状態,2)</f>
        <v>#REF!</v>
      </c>
      <c r="S52" s="1643" t="s">
        <v>536</v>
      </c>
      <c r="T52" s="1656" t="s">
        <v>536</v>
      </c>
      <c r="U52" s="1629"/>
      <c r="V52" s="1654" t="s">
        <v>764</v>
      </c>
      <c r="W52" s="1658" t="e">
        <f>VLOOKUP(#REF!,舗装状態,2)</f>
        <v>#REF!</v>
      </c>
      <c r="X52" s="1643" t="s">
        <v>1261</v>
      </c>
      <c r="Y52" s="1657" t="e">
        <f>IF(#REF!=0," ",VLOOKUP(#REF!,街路方位,2)&amp;"側 "&amp;#REF!&amp;" m")</f>
        <v>#REF!</v>
      </c>
      <c r="Z52" s="1619"/>
      <c r="AA52" s="1138"/>
      <c r="AF52" s="1137"/>
      <c r="AG52" s="1138"/>
      <c r="AH52" s="1137"/>
      <c r="AM52" s="1138"/>
      <c r="AO52" s="1137"/>
      <c r="AP52" s="1138"/>
      <c r="BC52" s="1137"/>
      <c r="BD52" s="1137"/>
      <c r="BI52" s="1137"/>
      <c r="BJ52" s="1138"/>
      <c r="BM52" s="1137"/>
      <c r="BN52" s="1138"/>
      <c r="BP52" s="1137"/>
      <c r="BQ52" s="1139"/>
      <c r="BR52" s="1140"/>
      <c r="BS52" s="1138"/>
      <c r="BV52" s="1141"/>
      <c r="BX52" s="1140"/>
      <c r="BY52" s="1137"/>
    </row>
    <row r="53" spans="1:77" ht="24" customHeight="1">
      <c r="A53" s="1645" t="s">
        <v>488</v>
      </c>
      <c r="B53" s="1646" t="str">
        <f>AF2</f>
        <v>最寄駅等の距離</v>
      </c>
      <c r="C53" s="1651" t="str">
        <f>AF4&amp;" まで約 "&amp;AG4&amp;" m"</f>
        <v>ＪＲ岐阜駅 まで約 5300 m</v>
      </c>
      <c r="D53" s="1659"/>
      <c r="E53" s="1660"/>
      <c r="F53" s="1645" t="s">
        <v>488</v>
      </c>
      <c r="G53" s="1646" t="str">
        <f>AF2</f>
        <v>最寄駅等の距離</v>
      </c>
      <c r="H53" s="1651" t="e">
        <f>#REF!&amp;" まで約 "&amp;#REF!&amp;" m"</f>
        <v>#REF!</v>
      </c>
      <c r="I53" s="1659"/>
      <c r="J53" s="1660"/>
      <c r="K53" s="1645" t="s">
        <v>488</v>
      </c>
      <c r="L53" s="1646" t="str">
        <f>AF2</f>
        <v>最寄駅等の距離</v>
      </c>
      <c r="M53" s="1651" t="e">
        <f>#REF!&amp;" まで約 "&amp;#REF!&amp;" m"</f>
        <v>#REF!</v>
      </c>
      <c r="N53" s="1659"/>
      <c r="O53" s="1660"/>
      <c r="P53" s="1645" t="s">
        <v>488</v>
      </c>
      <c r="Q53" s="1646" t="str">
        <f>AF2</f>
        <v>最寄駅等の距離</v>
      </c>
      <c r="R53" s="1651" t="e">
        <f>#REF!&amp;" まで約 "&amp;#REF!&amp;" m"</f>
        <v>#REF!</v>
      </c>
      <c r="S53" s="1659"/>
      <c r="T53" s="1660"/>
      <c r="U53" s="1645" t="s">
        <v>488</v>
      </c>
      <c r="V53" s="1646" t="str">
        <f>AF2</f>
        <v>最寄駅等の距離</v>
      </c>
      <c r="W53" s="1651" t="e">
        <f>#REF!&amp;" まで約 "&amp;#REF!&amp;" m"</f>
        <v>#REF!</v>
      </c>
      <c r="X53" s="1659"/>
      <c r="Y53" s="1661"/>
      <c r="Z53" s="1619"/>
      <c r="AA53" s="1138"/>
      <c r="AF53" s="1137"/>
      <c r="AG53" s="1138"/>
      <c r="AH53" s="1137"/>
      <c r="AM53" s="1138"/>
      <c r="AO53" s="1137"/>
      <c r="AP53" s="1138"/>
      <c r="BC53" s="1137"/>
      <c r="BD53" s="1137"/>
      <c r="BI53" s="1137"/>
      <c r="BJ53" s="1138"/>
      <c r="BM53" s="1137"/>
      <c r="BN53" s="1138"/>
      <c r="BP53" s="1137"/>
      <c r="BQ53" s="1139"/>
      <c r="BR53" s="1140"/>
      <c r="BS53" s="1138"/>
      <c r="BV53" s="1141"/>
      <c r="BX53" s="1140"/>
      <c r="BY53" s="1137"/>
    </row>
    <row r="54" spans="1:77" ht="24" customHeight="1">
      <c r="A54" s="1629" t="s">
        <v>127</v>
      </c>
      <c r="B54" s="1654" t="s">
        <v>762</v>
      </c>
      <c r="C54" s="1658" t="str">
        <f>IF(E32=0,"",D32&amp;" まで約 "&amp;E32&amp;" ｍ")</f>
        <v>長良高前停 まで約 350 ｍ</v>
      </c>
      <c r="D54" s="1662"/>
      <c r="E54" s="1663"/>
      <c r="F54" s="1629" t="s">
        <v>127</v>
      </c>
      <c r="G54" s="1654" t="s">
        <v>762</v>
      </c>
      <c r="H54" s="1658">
        <f>IF(E33=0,"",D33&amp;" まで約 "&amp;E33&amp;" ｍ")</f>
      </c>
      <c r="I54" s="1662"/>
      <c r="J54" s="1663"/>
      <c r="K54" s="1629" t="s">
        <v>127</v>
      </c>
      <c r="L54" s="1654" t="s">
        <v>762</v>
      </c>
      <c r="M54" s="1658">
        <f>IF(E34=0,"",D34&amp;" まで約 "&amp;E34&amp;" ｍ")</f>
      </c>
      <c r="N54" s="1662"/>
      <c r="O54" s="1663"/>
      <c r="P54" s="1629" t="s">
        <v>127</v>
      </c>
      <c r="Q54" s="1654" t="s">
        <v>762</v>
      </c>
      <c r="R54" s="1658">
        <f>IF(E35=0,"",D35&amp;" まで約 "&amp;E35&amp;" ｍ")</f>
      </c>
      <c r="S54" s="1662"/>
      <c r="T54" s="1663"/>
      <c r="U54" s="1629" t="s">
        <v>127</v>
      </c>
      <c r="V54" s="1654" t="s">
        <v>762</v>
      </c>
      <c r="W54" s="1658">
        <f>IF(E36=0,"",D36&amp;" まで約 "&amp;E36&amp;" ｍ")</f>
      </c>
      <c r="X54" s="1662"/>
      <c r="Y54" s="1664"/>
      <c r="Z54" s="1619"/>
      <c r="AA54" s="1138"/>
      <c r="AF54" s="1137"/>
      <c r="AG54" s="1138"/>
      <c r="AH54" s="1137"/>
      <c r="AM54" s="1138"/>
      <c r="AO54" s="1137"/>
      <c r="AP54" s="1138"/>
      <c r="BC54" s="1137"/>
      <c r="BD54" s="1137"/>
      <c r="BI54" s="1137"/>
      <c r="BJ54" s="1138"/>
      <c r="BM54" s="1137"/>
      <c r="BN54" s="1138"/>
      <c r="BP54" s="1137"/>
      <c r="BQ54" s="1139"/>
      <c r="BR54" s="1140"/>
      <c r="BS54" s="1138"/>
      <c r="BV54" s="1141"/>
      <c r="BX54" s="1140"/>
      <c r="BY54" s="1137"/>
    </row>
    <row r="55" spans="1:77" ht="24" customHeight="1">
      <c r="A55" s="1629"/>
      <c r="B55" s="1654" t="str">
        <f>AH2</f>
        <v>商業施設の距離</v>
      </c>
      <c r="C55" s="1658" t="str">
        <f>AH4&amp;" まで約 "&amp;AI4&amp;" ｍ"</f>
        <v>バローＳ.Ｃ.長良店 まで約 1300 ｍ</v>
      </c>
      <c r="D55" s="1662"/>
      <c r="E55" s="1663"/>
      <c r="F55" s="1629"/>
      <c r="G55" s="1654" t="str">
        <f>AH2</f>
        <v>商業施設の距離</v>
      </c>
      <c r="H55" s="1658" t="e">
        <f>#REF!&amp;" まで約 "&amp;#REF!&amp;" ｍ"</f>
        <v>#REF!</v>
      </c>
      <c r="I55" s="1662"/>
      <c r="J55" s="1663"/>
      <c r="K55" s="1629"/>
      <c r="L55" s="1654" t="str">
        <f>AH2</f>
        <v>商業施設の距離</v>
      </c>
      <c r="M55" s="1658" t="e">
        <f>#REF!&amp;" まで約 "&amp;#REF!&amp;" ｍ"</f>
        <v>#REF!</v>
      </c>
      <c r="N55" s="1662"/>
      <c r="O55" s="1663"/>
      <c r="P55" s="1629"/>
      <c r="Q55" s="1654" t="str">
        <f>AH2</f>
        <v>商業施設の距離</v>
      </c>
      <c r="R55" s="1658" t="e">
        <f>#REF!&amp;" まで約 "&amp;#REF!&amp;" ｍ"</f>
        <v>#REF!</v>
      </c>
      <c r="S55" s="1662"/>
      <c r="T55" s="1663"/>
      <c r="U55" s="1629"/>
      <c r="V55" s="1654" t="str">
        <f>AH2</f>
        <v>商業施設の距離</v>
      </c>
      <c r="W55" s="1658" t="e">
        <f>#REF!&amp;" まで約 "&amp;#REF!&amp;" ｍ"</f>
        <v>#REF!</v>
      </c>
      <c r="X55" s="1662"/>
      <c r="Y55" s="1664"/>
      <c r="Z55" s="1619"/>
      <c r="AA55" s="1138"/>
      <c r="AF55" s="1137"/>
      <c r="AG55" s="1138"/>
      <c r="AH55" s="1137"/>
      <c r="AM55" s="1138"/>
      <c r="AO55" s="1137"/>
      <c r="AP55" s="1138"/>
      <c r="BC55" s="1137"/>
      <c r="BD55" s="1137"/>
      <c r="BI55" s="1137"/>
      <c r="BJ55" s="1138"/>
      <c r="BM55" s="1137"/>
      <c r="BN55" s="1138"/>
      <c r="BP55" s="1137"/>
      <c r="BQ55" s="1139"/>
      <c r="BR55" s="1140"/>
      <c r="BS55" s="1138"/>
      <c r="BV55" s="1141"/>
      <c r="BX55" s="1140"/>
      <c r="BY55" s="1137"/>
    </row>
    <row r="56" spans="1:77" ht="24" customHeight="1">
      <c r="A56" s="1629"/>
      <c r="B56" s="1665" t="str">
        <f>AJ2</f>
        <v>公共施設の距離</v>
      </c>
      <c r="C56" s="1666" t="str">
        <f>AJ4&amp;" まで約 "&amp;AK4&amp;" ｍ"</f>
        <v>長良小学校 まで約 700 ｍ</v>
      </c>
      <c r="D56" s="1667"/>
      <c r="E56" s="1668"/>
      <c r="F56" s="1629"/>
      <c r="G56" s="1665" t="str">
        <f>AJ2</f>
        <v>公共施設の距離</v>
      </c>
      <c r="H56" s="1666" t="e">
        <f>#REF!&amp;" まで約 "&amp;#REF!&amp;" ｍ"</f>
        <v>#REF!</v>
      </c>
      <c r="I56" s="1667"/>
      <c r="J56" s="1668"/>
      <c r="K56" s="1629"/>
      <c r="L56" s="1665" t="str">
        <f>AJ2</f>
        <v>公共施設の距離</v>
      </c>
      <c r="M56" s="1666" t="e">
        <f>#REF!&amp;" まで約 "&amp;#REF!&amp;" ｍ"</f>
        <v>#REF!</v>
      </c>
      <c r="N56" s="1667"/>
      <c r="O56" s="1668"/>
      <c r="P56" s="1629"/>
      <c r="Q56" s="1665" t="str">
        <f>AJ2</f>
        <v>公共施設の距離</v>
      </c>
      <c r="R56" s="1666" t="e">
        <f>#REF!&amp;" まで約 "&amp;#REF!&amp;" ｍ"</f>
        <v>#REF!</v>
      </c>
      <c r="S56" s="1667"/>
      <c r="T56" s="1668"/>
      <c r="U56" s="1629"/>
      <c r="V56" s="1665" t="str">
        <f>AJ2</f>
        <v>公共施設の距離</v>
      </c>
      <c r="W56" s="1666" t="e">
        <f>#REF!&amp;" まで約 "&amp;#REF!&amp;" ｍ"</f>
        <v>#REF!</v>
      </c>
      <c r="X56" s="1667"/>
      <c r="Y56" s="1669"/>
      <c r="Z56" s="1619"/>
      <c r="AA56" s="1138"/>
      <c r="AF56" s="1137"/>
      <c r="AG56" s="1138"/>
      <c r="AH56" s="1137"/>
      <c r="AM56" s="1138"/>
      <c r="AO56" s="1137"/>
      <c r="AP56" s="1138"/>
      <c r="BC56" s="1137"/>
      <c r="BD56" s="1137"/>
      <c r="BI56" s="1137"/>
      <c r="BJ56" s="1138"/>
      <c r="BM56" s="1137"/>
      <c r="BN56" s="1138"/>
      <c r="BP56" s="1137"/>
      <c r="BQ56" s="1139"/>
      <c r="BR56" s="1140"/>
      <c r="BS56" s="1138"/>
      <c r="BV56" s="1141"/>
      <c r="BX56" s="1140"/>
      <c r="BY56" s="1137"/>
    </row>
    <row r="57" spans="1:77" ht="24" customHeight="1">
      <c r="A57" s="1629"/>
      <c r="B57" s="1643" t="str">
        <f>AL2</f>
        <v>圏域中心の距離</v>
      </c>
      <c r="C57" s="1670" t="str">
        <f>IF(AM4=0,AL4,AL4&amp;" まで約 "&amp;AM4&amp;" ｍ")</f>
        <v>なし</v>
      </c>
      <c r="D57" s="1671"/>
      <c r="E57" s="1672"/>
      <c r="F57" s="1629"/>
      <c r="G57" s="1643" t="str">
        <f>AL2</f>
        <v>圏域中心の距離</v>
      </c>
      <c r="H57" s="1670" t="e">
        <f>IF(#REF!=0,#REF!,#REF!&amp;" まで約 "&amp;#REF!&amp;" ｍ")</f>
        <v>#REF!</v>
      </c>
      <c r="I57" s="1671"/>
      <c r="J57" s="1672"/>
      <c r="K57" s="1629"/>
      <c r="L57" s="1643" t="str">
        <f>AL2</f>
        <v>圏域中心の距離</v>
      </c>
      <c r="M57" s="1670" t="e">
        <f>IF(#REF!=0,#REF!,#REF!&amp;" まで約 "&amp;#REF!&amp;" ｍ")</f>
        <v>#REF!</v>
      </c>
      <c r="N57" s="1671"/>
      <c r="O57" s="1672"/>
      <c r="P57" s="1629"/>
      <c r="Q57" s="1643" t="str">
        <f>AL2</f>
        <v>圏域中心の距離</v>
      </c>
      <c r="R57" s="1670" t="e">
        <f>IF(#REF!=0,#REF!,#REF!&amp;" まで約 "&amp;#REF!&amp;" ｍ")</f>
        <v>#REF!</v>
      </c>
      <c r="S57" s="1671"/>
      <c r="T57" s="1672"/>
      <c r="U57" s="1629"/>
      <c r="V57" s="1643" t="str">
        <f>AL2</f>
        <v>圏域中心の距離</v>
      </c>
      <c r="W57" s="1670" t="e">
        <f>IF(#REF!=0,#REF!,#REF!&amp;" まで約 "&amp;#REF!&amp;" ｍ")</f>
        <v>#REF!</v>
      </c>
      <c r="X57" s="1671"/>
      <c r="Y57" s="1673"/>
      <c r="Z57" s="1619"/>
      <c r="AA57" s="1138"/>
      <c r="AF57" s="1137"/>
      <c r="AG57" s="1138"/>
      <c r="AH57" s="1137"/>
      <c r="AM57" s="1138"/>
      <c r="AO57" s="1137"/>
      <c r="AP57" s="1138"/>
      <c r="BC57" s="1137"/>
      <c r="BD57" s="1137"/>
      <c r="BI57" s="1137"/>
      <c r="BJ57" s="1138"/>
      <c r="BM57" s="1137"/>
      <c r="BN57" s="1138"/>
      <c r="BP57" s="1137"/>
      <c r="BQ57" s="1139"/>
      <c r="BR57" s="1140"/>
      <c r="BS57" s="1138"/>
      <c r="BV57" s="1141"/>
      <c r="BX57" s="1140"/>
      <c r="BY57" s="1137"/>
    </row>
    <row r="58" spans="1:77" ht="24" customHeight="1">
      <c r="A58" s="1645" t="s">
        <v>823</v>
      </c>
      <c r="B58" s="1646" t="s">
        <v>514</v>
      </c>
      <c r="C58" s="1674" t="str">
        <f>F32</f>
        <v>区画番号２画地</v>
      </c>
      <c r="D58" s="1646" t="s">
        <v>515</v>
      </c>
      <c r="E58" s="1675" t="str">
        <f>H32</f>
        <v>市道</v>
      </c>
      <c r="F58" s="1645" t="s">
        <v>823</v>
      </c>
      <c r="G58" s="1646" t="s">
        <v>514</v>
      </c>
      <c r="H58" s="1674">
        <f>F33</f>
        <v>0</v>
      </c>
      <c r="I58" s="1646" t="s">
        <v>515</v>
      </c>
      <c r="J58" s="1675">
        <f>H33</f>
        <v>0</v>
      </c>
      <c r="K58" s="1645" t="s">
        <v>823</v>
      </c>
      <c r="L58" s="1646" t="s">
        <v>514</v>
      </c>
      <c r="M58" s="1674">
        <f>F34</f>
        <v>0</v>
      </c>
      <c r="N58" s="1646" t="s">
        <v>515</v>
      </c>
      <c r="O58" s="1675">
        <f>H34</f>
        <v>0</v>
      </c>
      <c r="P58" s="1645" t="s">
        <v>823</v>
      </c>
      <c r="Q58" s="1646" t="s">
        <v>514</v>
      </c>
      <c r="R58" s="1674">
        <f>F35</f>
        <v>0</v>
      </c>
      <c r="S58" s="1646" t="s">
        <v>515</v>
      </c>
      <c r="T58" s="1675">
        <f>H35</f>
        <v>0</v>
      </c>
      <c r="U58" s="1645" t="s">
        <v>823</v>
      </c>
      <c r="V58" s="1646" t="s">
        <v>514</v>
      </c>
      <c r="W58" s="1674">
        <f>F36</f>
        <v>0</v>
      </c>
      <c r="X58" s="1646" t="s">
        <v>515</v>
      </c>
      <c r="Y58" s="1653">
        <f>H36</f>
        <v>0</v>
      </c>
      <c r="Z58" s="1619"/>
      <c r="AA58" s="1138"/>
      <c r="AF58" s="1137"/>
      <c r="AG58" s="1138"/>
      <c r="AH58" s="1137"/>
      <c r="AM58" s="1138"/>
      <c r="AO58" s="1137"/>
      <c r="AP58" s="1138"/>
      <c r="BC58" s="1137"/>
      <c r="BD58" s="1137"/>
      <c r="BI58" s="1137"/>
      <c r="BJ58" s="1138"/>
      <c r="BM58" s="1137"/>
      <c r="BN58" s="1138"/>
      <c r="BP58" s="1137"/>
      <c r="BQ58" s="1139"/>
      <c r="BR58" s="1140"/>
      <c r="BS58" s="1138"/>
      <c r="BV58" s="1141"/>
      <c r="BX58" s="1140"/>
      <c r="BY58" s="1137"/>
    </row>
    <row r="59" spans="1:77" ht="24" customHeight="1">
      <c r="A59" s="1629"/>
      <c r="B59" s="1665" t="s">
        <v>516</v>
      </c>
      <c r="C59" s="1676" t="str">
        <f>G32</f>
        <v>住宅地</v>
      </c>
      <c r="D59" s="1665" t="s">
        <v>992</v>
      </c>
      <c r="E59" s="1677" t="str">
        <f>I32</f>
        <v>住宅地</v>
      </c>
      <c r="F59" s="1629"/>
      <c r="G59" s="1665" t="s">
        <v>516</v>
      </c>
      <c r="H59" s="1676">
        <f>G33</f>
        <v>0</v>
      </c>
      <c r="I59" s="1665" t="s">
        <v>992</v>
      </c>
      <c r="J59" s="1677">
        <f>I33</f>
        <v>0</v>
      </c>
      <c r="K59" s="1629"/>
      <c r="L59" s="1665" t="s">
        <v>516</v>
      </c>
      <c r="M59" s="1676">
        <f>G34</f>
        <v>0</v>
      </c>
      <c r="N59" s="1665" t="s">
        <v>992</v>
      </c>
      <c r="O59" s="1677">
        <f>I34</f>
        <v>0</v>
      </c>
      <c r="P59" s="1629"/>
      <c r="Q59" s="1665" t="s">
        <v>516</v>
      </c>
      <c r="R59" s="1676">
        <f>G35</f>
        <v>0</v>
      </c>
      <c r="S59" s="1665" t="s">
        <v>992</v>
      </c>
      <c r="T59" s="1677">
        <f>I35</f>
        <v>0</v>
      </c>
      <c r="U59" s="1629"/>
      <c r="V59" s="1665" t="s">
        <v>516</v>
      </c>
      <c r="W59" s="1676">
        <f>G36</f>
        <v>0</v>
      </c>
      <c r="X59" s="1665" t="s">
        <v>992</v>
      </c>
      <c r="Y59" s="1678">
        <f>I36</f>
        <v>0</v>
      </c>
      <c r="Z59" s="1619"/>
      <c r="AA59" s="1138"/>
      <c r="AF59" s="1137"/>
      <c r="AG59" s="1138"/>
      <c r="AH59" s="1137"/>
      <c r="AM59" s="1138"/>
      <c r="AO59" s="1137"/>
      <c r="AP59" s="1138"/>
      <c r="BC59" s="1137"/>
      <c r="BD59" s="1137"/>
      <c r="BI59" s="1137"/>
      <c r="BJ59" s="1138"/>
      <c r="BM59" s="1137"/>
      <c r="BN59" s="1138"/>
      <c r="BP59" s="1137"/>
      <c r="BQ59" s="1139"/>
      <c r="BR59" s="1140"/>
      <c r="BS59" s="1138"/>
      <c r="BV59" s="1141"/>
      <c r="BX59" s="1140"/>
      <c r="BY59" s="1137"/>
    </row>
    <row r="60" spans="1:77" ht="24" customHeight="1">
      <c r="A60" s="1629"/>
      <c r="B60" s="1679" t="s">
        <v>534</v>
      </c>
      <c r="C60" s="1680" t="str">
        <f>VLOOKUP(AR4,水道,2)</f>
        <v>供給区域</v>
      </c>
      <c r="D60" s="1679" t="s">
        <v>133</v>
      </c>
      <c r="E60" s="1681" t="str">
        <f>VLOOKUP(AT4,都市ガス,2)</f>
        <v>供給区域</v>
      </c>
      <c r="F60" s="1629"/>
      <c r="G60" s="1679" t="s">
        <v>534</v>
      </c>
      <c r="H60" s="1680" t="e">
        <f>VLOOKUP(#REF!,水道,2)</f>
        <v>#REF!</v>
      </c>
      <c r="I60" s="1679" t="s">
        <v>133</v>
      </c>
      <c r="J60" s="1681" t="e">
        <f>VLOOKUP(#REF!,都市ガス,2)</f>
        <v>#REF!</v>
      </c>
      <c r="K60" s="1629"/>
      <c r="L60" s="1679" t="s">
        <v>534</v>
      </c>
      <c r="M60" s="1680" t="e">
        <f>VLOOKUP(#REF!,水道,2)</f>
        <v>#REF!</v>
      </c>
      <c r="N60" s="1679" t="s">
        <v>133</v>
      </c>
      <c r="O60" s="1681" t="e">
        <f>VLOOKUP(#REF!,都市ガス,2)</f>
        <v>#REF!</v>
      </c>
      <c r="P60" s="1629"/>
      <c r="Q60" s="1679" t="s">
        <v>534</v>
      </c>
      <c r="R60" s="1680" t="e">
        <f>VLOOKUP(#REF!,水道,2)</f>
        <v>#REF!</v>
      </c>
      <c r="S60" s="1679" t="s">
        <v>133</v>
      </c>
      <c r="T60" s="1681" t="e">
        <f>VLOOKUP(#REF!,都市ガス,2)</f>
        <v>#REF!</v>
      </c>
      <c r="U60" s="1629"/>
      <c r="V60" s="1679" t="s">
        <v>534</v>
      </c>
      <c r="W60" s="1680" t="e">
        <f>VLOOKUP(#REF!,水道,2)</f>
        <v>#REF!</v>
      </c>
      <c r="X60" s="1679" t="s">
        <v>133</v>
      </c>
      <c r="Y60" s="1664" t="e">
        <f>VLOOKUP(#REF!,都市ガス,2)</f>
        <v>#REF!</v>
      </c>
      <c r="Z60" s="1619"/>
      <c r="AA60" s="1138"/>
      <c r="AF60" s="1137"/>
      <c r="AG60" s="1138"/>
      <c r="AH60" s="1137"/>
      <c r="AM60" s="1138"/>
      <c r="AO60" s="1137"/>
      <c r="AP60" s="1138"/>
      <c r="BC60" s="1137"/>
      <c r="BD60" s="1137"/>
      <c r="BI60" s="1137"/>
      <c r="BJ60" s="1138"/>
      <c r="BM60" s="1137"/>
      <c r="BN60" s="1138"/>
      <c r="BP60" s="1137"/>
      <c r="BQ60" s="1139"/>
      <c r="BR60" s="1140"/>
      <c r="BS60" s="1138"/>
      <c r="BV60" s="1141"/>
      <c r="BX60" s="1140"/>
      <c r="BY60" s="1137"/>
    </row>
    <row r="61" spans="1:77" ht="24" customHeight="1">
      <c r="A61" s="1629"/>
      <c r="B61" s="1682" t="s">
        <v>246</v>
      </c>
      <c r="C61" s="1683" t="str">
        <f>VLOOKUP(AS4,下水,2)</f>
        <v>処理区域内</v>
      </c>
      <c r="D61" s="1684"/>
      <c r="E61" s="1668"/>
      <c r="F61" s="1629"/>
      <c r="G61" s="1682" t="s">
        <v>246</v>
      </c>
      <c r="H61" s="1683" t="e">
        <f>VLOOKUP(#REF!,下水,2)</f>
        <v>#REF!</v>
      </c>
      <c r="I61" s="1684"/>
      <c r="J61" s="1668"/>
      <c r="K61" s="1629"/>
      <c r="L61" s="1682" t="s">
        <v>246</v>
      </c>
      <c r="M61" s="1683" t="e">
        <f>VLOOKUP(#REF!,下水,2)</f>
        <v>#REF!</v>
      </c>
      <c r="N61" s="1684"/>
      <c r="O61" s="1668"/>
      <c r="P61" s="1629"/>
      <c r="Q61" s="1682" t="s">
        <v>246</v>
      </c>
      <c r="R61" s="1683" t="e">
        <f>VLOOKUP(#REF!,下水,2)</f>
        <v>#REF!</v>
      </c>
      <c r="S61" s="1684"/>
      <c r="T61" s="1668"/>
      <c r="U61" s="1629"/>
      <c r="V61" s="1682" t="s">
        <v>246</v>
      </c>
      <c r="W61" s="1683" t="e">
        <f>VLOOKUP(#REF!,下水,2)</f>
        <v>#REF!</v>
      </c>
      <c r="X61" s="1684"/>
      <c r="Y61" s="1669"/>
      <c r="Z61" s="1619"/>
      <c r="AA61" s="1138"/>
      <c r="AF61" s="1137"/>
      <c r="AG61" s="1138"/>
      <c r="AH61" s="1137"/>
      <c r="AM61" s="1138"/>
      <c r="AO61" s="1137"/>
      <c r="AP61" s="1138"/>
      <c r="BC61" s="1137"/>
      <c r="BD61" s="1137"/>
      <c r="BI61" s="1137"/>
      <c r="BJ61" s="1138"/>
      <c r="BM61" s="1137"/>
      <c r="BN61" s="1138"/>
      <c r="BP61" s="1137"/>
      <c r="BQ61" s="1139"/>
      <c r="BR61" s="1140"/>
      <c r="BS61" s="1138"/>
      <c r="BV61" s="1141"/>
      <c r="BX61" s="1140"/>
      <c r="BY61" s="1137"/>
    </row>
    <row r="62" spans="1:77" ht="24" customHeight="1">
      <c r="A62" s="1645" t="s">
        <v>595</v>
      </c>
      <c r="B62" s="1646" t="s">
        <v>639</v>
      </c>
      <c r="C62" s="1651" t="str">
        <f>IF(AU4=1,'比準表入力'!D153,IF(AU4=2,'比準表入力'!D154,IF(AU4=3,'比準表入力'!D155,'比準表入力'!D156)))</f>
        <v>市街化区域</v>
      </c>
      <c r="D62" s="1685"/>
      <c r="E62" s="1660"/>
      <c r="F62" s="1645" t="s">
        <v>595</v>
      </c>
      <c r="G62" s="1646" t="s">
        <v>639</v>
      </c>
      <c r="H62" s="1651" t="e">
        <f>IF(#REF!=1,'比準表入力'!D153,IF(#REF!=2,'比準表入力'!D154,IF(#REF!=3,'比準表入力'!D155,'比準表入力'!D156)))</f>
        <v>#REF!</v>
      </c>
      <c r="I62" s="1685"/>
      <c r="J62" s="1660"/>
      <c r="K62" s="1645" t="s">
        <v>595</v>
      </c>
      <c r="L62" s="1646" t="s">
        <v>639</v>
      </c>
      <c r="M62" s="1651" t="e">
        <f>IF(#REF!=1,'比準表入力'!D153,IF(#REF!=2,'比準表入力'!D154,IF(#REF!=3,'比準表入力'!D155,'比準表入力'!D156)))</f>
        <v>#REF!</v>
      </c>
      <c r="N62" s="1685"/>
      <c r="O62" s="1660"/>
      <c r="P62" s="1645" t="s">
        <v>595</v>
      </c>
      <c r="Q62" s="1646" t="s">
        <v>639</v>
      </c>
      <c r="R62" s="1651" t="e">
        <f>IF(#REF!=1,'比準表入力'!D153,IF(#REF!=2,'比準表入力'!D154,IF(#REF!=3,'比準表入力'!D155,'比準表入力'!D156)))</f>
        <v>#REF!</v>
      </c>
      <c r="S62" s="1685"/>
      <c r="T62" s="1660"/>
      <c r="U62" s="1645" t="s">
        <v>595</v>
      </c>
      <c r="V62" s="1646" t="s">
        <v>639</v>
      </c>
      <c r="W62" s="1651" t="e">
        <f>IF(#REF!=1,'比準表入力'!D153,IF(#REF!=2,'比準表入力'!D154,IF(#REF!=3,'比準表入力'!D155,'比準表入力'!D156)))</f>
        <v>#REF!</v>
      </c>
      <c r="X62" s="1685"/>
      <c r="Y62" s="1661"/>
      <c r="Z62" s="1619"/>
      <c r="AA62" s="1138"/>
      <c r="AF62" s="1137"/>
      <c r="AG62" s="1138"/>
      <c r="AH62" s="1137"/>
      <c r="AM62" s="1138"/>
      <c r="AO62" s="1137"/>
      <c r="AP62" s="1138"/>
      <c r="BC62" s="1137"/>
      <c r="BD62" s="1137"/>
      <c r="BI62" s="1137"/>
      <c r="BJ62" s="1138"/>
      <c r="BM62" s="1137"/>
      <c r="BN62" s="1138"/>
      <c r="BP62" s="1137"/>
      <c r="BQ62" s="1139"/>
      <c r="BR62" s="1140"/>
      <c r="BS62" s="1138"/>
      <c r="BV62" s="1141"/>
      <c r="BX62" s="1140"/>
      <c r="BY62" s="1137"/>
    </row>
    <row r="63" spans="1:77" ht="24" customHeight="1">
      <c r="A63" s="1629"/>
      <c r="B63" s="1654" t="s">
        <v>835</v>
      </c>
      <c r="C63" s="1658" t="str">
        <f>VLOOKUP(AV4,用途地域,4)</f>
        <v>第二種住居地域</v>
      </c>
      <c r="D63" s="1686"/>
      <c r="E63" s="1663"/>
      <c r="F63" s="1629"/>
      <c r="G63" s="1654" t="s">
        <v>835</v>
      </c>
      <c r="H63" s="1658" t="e">
        <f>VLOOKUP(#REF!,用途地域,4)</f>
        <v>#REF!</v>
      </c>
      <c r="I63" s="1686"/>
      <c r="J63" s="1663"/>
      <c r="K63" s="1629"/>
      <c r="L63" s="1654" t="s">
        <v>835</v>
      </c>
      <c r="M63" s="1658" t="e">
        <f>VLOOKUP(#REF!,用途地域,4)</f>
        <v>#REF!</v>
      </c>
      <c r="N63" s="1686"/>
      <c r="O63" s="1663"/>
      <c r="P63" s="1629"/>
      <c r="Q63" s="1654" t="s">
        <v>835</v>
      </c>
      <c r="R63" s="1658" t="e">
        <f>VLOOKUP(#REF!,用途地域,4)</f>
        <v>#REF!</v>
      </c>
      <c r="S63" s="1686"/>
      <c r="T63" s="1663"/>
      <c r="U63" s="1629"/>
      <c r="V63" s="1654" t="s">
        <v>835</v>
      </c>
      <c r="W63" s="1658" t="e">
        <f>VLOOKUP(#REF!,用途地域,4)</f>
        <v>#REF!</v>
      </c>
      <c r="X63" s="1686"/>
      <c r="Y63" s="1664"/>
      <c r="Z63" s="1619"/>
      <c r="AA63" s="1138"/>
      <c r="AF63" s="1137"/>
      <c r="AG63" s="1138"/>
      <c r="AH63" s="1137"/>
      <c r="AM63" s="1138"/>
      <c r="AO63" s="1137"/>
      <c r="AP63" s="1138"/>
      <c r="BC63" s="1137"/>
      <c r="BD63" s="1137"/>
      <c r="BI63" s="1137"/>
      <c r="BJ63" s="1138"/>
      <c r="BM63" s="1137"/>
      <c r="BN63" s="1138"/>
      <c r="BP63" s="1137"/>
      <c r="BQ63" s="1139"/>
      <c r="BR63" s="1140"/>
      <c r="BS63" s="1138"/>
      <c r="BV63" s="1141"/>
      <c r="BX63" s="1140"/>
      <c r="BY63" s="1137"/>
    </row>
    <row r="64" spans="1:77" ht="24" customHeight="1">
      <c r="A64" s="1629"/>
      <c r="B64" s="1654" t="s">
        <v>369</v>
      </c>
      <c r="C64" s="1687">
        <f>AW4</f>
        <v>200</v>
      </c>
      <c r="D64" s="1688" t="s">
        <v>1134</v>
      </c>
      <c r="E64" s="1689">
        <f>AX4</f>
        <v>60</v>
      </c>
      <c r="F64" s="1629"/>
      <c r="G64" s="1654" t="s">
        <v>369</v>
      </c>
      <c r="H64" s="1687" t="e">
        <f>#REF!</f>
        <v>#REF!</v>
      </c>
      <c r="I64" s="1688" t="s">
        <v>1134</v>
      </c>
      <c r="J64" s="1689" t="e">
        <f>#REF!</f>
        <v>#REF!</v>
      </c>
      <c r="K64" s="1629"/>
      <c r="L64" s="1654" t="s">
        <v>369</v>
      </c>
      <c r="M64" s="1687" t="e">
        <f>#REF!</f>
        <v>#REF!</v>
      </c>
      <c r="N64" s="1688" t="s">
        <v>1134</v>
      </c>
      <c r="O64" s="1689" t="e">
        <f>#REF!</f>
        <v>#REF!</v>
      </c>
      <c r="P64" s="1629"/>
      <c r="Q64" s="1654" t="s">
        <v>369</v>
      </c>
      <c r="R64" s="1687" t="e">
        <f>#REF!</f>
        <v>#REF!</v>
      </c>
      <c r="S64" s="1688" t="s">
        <v>1134</v>
      </c>
      <c r="T64" s="1689" t="e">
        <f>#REF!</f>
        <v>#REF!</v>
      </c>
      <c r="U64" s="1629"/>
      <c r="V64" s="1654" t="s">
        <v>369</v>
      </c>
      <c r="W64" s="1687" t="e">
        <f>#REF!</f>
        <v>#REF!</v>
      </c>
      <c r="X64" s="1688" t="s">
        <v>1134</v>
      </c>
      <c r="Y64" s="1690" t="e">
        <f>#REF!</f>
        <v>#REF!</v>
      </c>
      <c r="Z64" s="1619"/>
      <c r="AA64" s="1138"/>
      <c r="AF64" s="1137"/>
      <c r="AG64" s="1138"/>
      <c r="AH64" s="1137"/>
      <c r="AM64" s="1138"/>
      <c r="AO64" s="1137"/>
      <c r="AP64" s="1138"/>
      <c r="BC64" s="1137"/>
      <c r="BD64" s="1137"/>
      <c r="BI64" s="1137"/>
      <c r="BJ64" s="1138"/>
      <c r="BM64" s="1137"/>
      <c r="BN64" s="1138"/>
      <c r="BP64" s="1137"/>
      <c r="BQ64" s="1139"/>
      <c r="BR64" s="1140"/>
      <c r="BS64" s="1138"/>
      <c r="BV64" s="1141"/>
      <c r="BX64" s="1140"/>
      <c r="BY64" s="1137"/>
    </row>
    <row r="65" spans="1:77" ht="24" customHeight="1">
      <c r="A65" s="1629"/>
      <c r="B65" s="1691" t="s">
        <v>447</v>
      </c>
      <c r="C65" s="1692">
        <f>F80</f>
        <v>200</v>
      </c>
      <c r="D65" s="1693" t="s">
        <v>437</v>
      </c>
      <c r="E65" s="1694">
        <f>O80</f>
        <v>60</v>
      </c>
      <c r="F65" s="1629"/>
      <c r="G65" s="1691" t="s">
        <v>447</v>
      </c>
      <c r="H65" s="1692" t="e">
        <f>F81</f>
        <v>#REF!</v>
      </c>
      <c r="I65" s="1693" t="s">
        <v>437</v>
      </c>
      <c r="J65" s="1694" t="e">
        <f>O81</f>
        <v>#REF!</v>
      </c>
      <c r="K65" s="1629"/>
      <c r="L65" s="1691" t="s">
        <v>447</v>
      </c>
      <c r="M65" s="1692" t="e">
        <f>F82</f>
        <v>#REF!</v>
      </c>
      <c r="N65" s="1693" t="s">
        <v>437</v>
      </c>
      <c r="O65" s="1694" t="e">
        <f>O82</f>
        <v>#REF!</v>
      </c>
      <c r="P65" s="1629"/>
      <c r="Q65" s="1691" t="s">
        <v>447</v>
      </c>
      <c r="R65" s="1692" t="e">
        <f>F83</f>
        <v>#REF!</v>
      </c>
      <c r="S65" s="1693" t="s">
        <v>437</v>
      </c>
      <c r="T65" s="1694" t="e">
        <f>O83</f>
        <v>#REF!</v>
      </c>
      <c r="U65" s="1629"/>
      <c r="V65" s="1691" t="s">
        <v>447</v>
      </c>
      <c r="W65" s="1692" t="e">
        <f>F84</f>
        <v>#REF!</v>
      </c>
      <c r="X65" s="1693" t="s">
        <v>437</v>
      </c>
      <c r="Y65" s="1695" t="e">
        <f>O84</f>
        <v>#REF!</v>
      </c>
      <c r="Z65" s="1619"/>
      <c r="AA65" s="1138"/>
      <c r="AF65" s="1137"/>
      <c r="AG65" s="1138"/>
      <c r="AH65" s="1137"/>
      <c r="AM65" s="1138"/>
      <c r="AO65" s="1137"/>
      <c r="AP65" s="1138"/>
      <c r="BC65" s="1137"/>
      <c r="BD65" s="1137"/>
      <c r="BI65" s="1137"/>
      <c r="BJ65" s="1138"/>
      <c r="BM65" s="1137"/>
      <c r="BN65" s="1138"/>
      <c r="BP65" s="1137"/>
      <c r="BQ65" s="1139"/>
      <c r="BR65" s="1140"/>
      <c r="BS65" s="1138"/>
      <c r="BV65" s="1141"/>
      <c r="BX65" s="1140"/>
      <c r="BY65" s="1137"/>
    </row>
    <row r="66" spans="1:77" ht="24" customHeight="1">
      <c r="A66" s="1629"/>
      <c r="B66" s="1654" t="s">
        <v>728</v>
      </c>
      <c r="C66" s="1696" t="str">
        <f>VLOOKUP(AY4,防火規制,2)</f>
        <v>準防火地域</v>
      </c>
      <c r="D66" s="1697" t="s">
        <v>729</v>
      </c>
      <c r="E66" s="1698" t="str">
        <f>C32</f>
        <v>特にない</v>
      </c>
      <c r="F66" s="1629"/>
      <c r="G66" s="1654" t="s">
        <v>728</v>
      </c>
      <c r="H66" s="1696" t="e">
        <f>VLOOKUP(#REF!,防火規制,2)</f>
        <v>#REF!</v>
      </c>
      <c r="I66" s="1697" t="s">
        <v>729</v>
      </c>
      <c r="J66" s="1698">
        <f>C33</f>
        <v>0</v>
      </c>
      <c r="K66" s="1629"/>
      <c r="L66" s="1654" t="s">
        <v>728</v>
      </c>
      <c r="M66" s="1696" t="e">
        <f>VLOOKUP(#REF!,防火規制,2)</f>
        <v>#REF!</v>
      </c>
      <c r="N66" s="1697" t="s">
        <v>729</v>
      </c>
      <c r="O66" s="1698">
        <f>C34</f>
        <v>0</v>
      </c>
      <c r="P66" s="1629"/>
      <c r="Q66" s="1654" t="s">
        <v>728</v>
      </c>
      <c r="R66" s="1696" t="e">
        <f>VLOOKUP(#REF!,防火規制,2)</f>
        <v>#REF!</v>
      </c>
      <c r="S66" s="1697" t="s">
        <v>729</v>
      </c>
      <c r="T66" s="1698">
        <f>C35</f>
        <v>0</v>
      </c>
      <c r="U66" s="1629"/>
      <c r="V66" s="1654" t="s">
        <v>728</v>
      </c>
      <c r="W66" s="1696" t="e">
        <f>VLOOKUP(#REF!,防火規制,2)</f>
        <v>#REF!</v>
      </c>
      <c r="X66" s="1697" t="s">
        <v>729</v>
      </c>
      <c r="Y66" s="1699">
        <f>C36</f>
        <v>0</v>
      </c>
      <c r="Z66" s="1619"/>
      <c r="AA66" s="1138"/>
      <c r="AF66" s="1137"/>
      <c r="AG66" s="1138"/>
      <c r="AH66" s="1137"/>
      <c r="AM66" s="1138"/>
      <c r="AO66" s="1137"/>
      <c r="AP66" s="1138"/>
      <c r="BC66" s="1137"/>
      <c r="BD66" s="1137"/>
      <c r="BI66" s="1137"/>
      <c r="BJ66" s="1138"/>
      <c r="BM66" s="1137"/>
      <c r="BN66" s="1138"/>
      <c r="BP66" s="1137"/>
      <c r="BQ66" s="1139"/>
      <c r="BR66" s="1140"/>
      <c r="BS66" s="1138"/>
      <c r="BV66" s="1141"/>
      <c r="BX66" s="1140"/>
      <c r="BY66" s="1137"/>
    </row>
    <row r="67" spans="1:77" ht="24" customHeight="1">
      <c r="A67" s="1645" t="s">
        <v>730</v>
      </c>
      <c r="B67" s="1646" t="s">
        <v>962</v>
      </c>
      <c r="C67" s="1651" t="str">
        <f>J32</f>
        <v>未利用空地</v>
      </c>
      <c r="D67" s="1685"/>
      <c r="E67" s="1700"/>
      <c r="F67" s="1645" t="s">
        <v>730</v>
      </c>
      <c r="G67" s="1646" t="s">
        <v>962</v>
      </c>
      <c r="H67" s="1651">
        <f>J33</f>
        <v>0</v>
      </c>
      <c r="I67" s="1685"/>
      <c r="J67" s="1700"/>
      <c r="K67" s="1645" t="s">
        <v>730</v>
      </c>
      <c r="L67" s="1646" t="s">
        <v>962</v>
      </c>
      <c r="M67" s="1651">
        <f>J34</f>
        <v>0</v>
      </c>
      <c r="N67" s="1685"/>
      <c r="O67" s="1700"/>
      <c r="P67" s="1645" t="s">
        <v>730</v>
      </c>
      <c r="Q67" s="1646" t="s">
        <v>962</v>
      </c>
      <c r="R67" s="1651">
        <f>J35</f>
        <v>0</v>
      </c>
      <c r="S67" s="1685"/>
      <c r="T67" s="1700"/>
      <c r="U67" s="1645" t="s">
        <v>730</v>
      </c>
      <c r="V67" s="1646" t="s">
        <v>962</v>
      </c>
      <c r="W67" s="1651">
        <f>J36</f>
        <v>0</v>
      </c>
      <c r="X67" s="1685"/>
      <c r="Y67" s="1661"/>
      <c r="Z67" s="1619"/>
      <c r="AA67" s="1138"/>
      <c r="AF67" s="1137"/>
      <c r="AG67" s="1138"/>
      <c r="AH67" s="1137"/>
      <c r="AM67" s="1138"/>
      <c r="AO67" s="1137"/>
      <c r="AP67" s="1138"/>
      <c r="BC67" s="1137"/>
      <c r="BD67" s="1137"/>
      <c r="BI67" s="1137"/>
      <c r="BJ67" s="1138"/>
      <c r="BM67" s="1137"/>
      <c r="BN67" s="1138"/>
      <c r="BP67" s="1137"/>
      <c r="BQ67" s="1139"/>
      <c r="BR67" s="1140"/>
      <c r="BS67" s="1138"/>
      <c r="BV67" s="1141"/>
      <c r="BX67" s="1140"/>
      <c r="BY67" s="1137"/>
    </row>
    <row r="68" spans="1:77" ht="24" customHeight="1">
      <c r="A68" s="1629"/>
      <c r="B68" s="1654" t="s">
        <v>842</v>
      </c>
      <c r="C68" s="1658" t="str">
        <f>K32</f>
        <v>長良高校の南方約３００ｍに位置する</v>
      </c>
      <c r="D68" s="1662"/>
      <c r="E68" s="1701"/>
      <c r="F68" s="1629"/>
      <c r="G68" s="1654" t="s">
        <v>842</v>
      </c>
      <c r="H68" s="1658">
        <f>K33</f>
        <v>0</v>
      </c>
      <c r="I68" s="1662"/>
      <c r="J68" s="1701"/>
      <c r="K68" s="1629"/>
      <c r="L68" s="1654" t="s">
        <v>842</v>
      </c>
      <c r="M68" s="1658">
        <f>K34</f>
        <v>0</v>
      </c>
      <c r="N68" s="1662"/>
      <c r="O68" s="1701"/>
      <c r="P68" s="1629"/>
      <c r="Q68" s="1654" t="s">
        <v>842</v>
      </c>
      <c r="R68" s="1658">
        <f>K35</f>
        <v>0</v>
      </c>
      <c r="S68" s="1662"/>
      <c r="T68" s="1701"/>
      <c r="U68" s="1629"/>
      <c r="V68" s="1654" t="s">
        <v>842</v>
      </c>
      <c r="W68" s="1658">
        <f>K36</f>
        <v>0</v>
      </c>
      <c r="X68" s="1662"/>
      <c r="Y68" s="1664"/>
      <c r="Z68" s="1619"/>
      <c r="AA68" s="1138"/>
      <c r="AF68" s="1137"/>
      <c r="AG68" s="1138"/>
      <c r="AH68" s="1137"/>
      <c r="AM68" s="1138"/>
      <c r="AO68" s="1137"/>
      <c r="AP68" s="1138"/>
      <c r="BC68" s="1137"/>
      <c r="BD68" s="1137"/>
      <c r="BI68" s="1137"/>
      <c r="BJ68" s="1138"/>
      <c r="BM68" s="1137"/>
      <c r="BN68" s="1138"/>
      <c r="BP68" s="1137"/>
      <c r="BQ68" s="1139"/>
      <c r="BR68" s="1140"/>
      <c r="BS68" s="1138"/>
      <c r="BV68" s="1141"/>
      <c r="BX68" s="1140"/>
      <c r="BY68" s="1137"/>
    </row>
    <row r="69" spans="1:77" ht="24" customHeight="1">
      <c r="A69" s="1629"/>
      <c r="B69" s="1665" t="s">
        <v>325</v>
      </c>
      <c r="C69" s="1666" t="str">
        <f>IF(BC4=0,BB4,BB4&amp;" まで約 "&amp;BC4&amp;" m")</f>
        <v>無し</v>
      </c>
      <c r="D69" s="1667"/>
      <c r="E69" s="1702"/>
      <c r="F69" s="1629"/>
      <c r="G69" s="1654" t="s">
        <v>325</v>
      </c>
      <c r="H69" s="1658" t="e">
        <f>IF(#REF!=0,#REF!,#REF!&amp;" まで約 "&amp;#REF!&amp;" m")</f>
        <v>#REF!</v>
      </c>
      <c r="I69" s="1662"/>
      <c r="J69" s="1701"/>
      <c r="K69" s="1629"/>
      <c r="L69" s="1654" t="s">
        <v>325</v>
      </c>
      <c r="M69" s="1658" t="e">
        <f>IF(#REF!=0,#REF!,#REF!&amp;" まで約 "&amp;#REF!&amp;" m")</f>
        <v>#REF!</v>
      </c>
      <c r="N69" s="1662"/>
      <c r="O69" s="1701"/>
      <c r="P69" s="1629"/>
      <c r="Q69" s="1654" t="s">
        <v>325</v>
      </c>
      <c r="R69" s="1658" t="e">
        <f>IF(#REF!=0,#REF!,#REF!&amp;" まで約 "&amp;#REF!&amp;" m")</f>
        <v>#REF!</v>
      </c>
      <c r="S69" s="1662"/>
      <c r="T69" s="1701"/>
      <c r="U69" s="1629"/>
      <c r="V69" s="1654" t="s">
        <v>325</v>
      </c>
      <c r="W69" s="1658" t="e">
        <f>IF(#REF!=0,#REF!,#REF!&amp;" まで約 "&amp;#REF!&amp;" m")</f>
        <v>#REF!</v>
      </c>
      <c r="X69" s="1662"/>
      <c r="Y69" s="1664"/>
      <c r="Z69" s="1619"/>
      <c r="AA69" s="1138"/>
      <c r="AF69" s="1137"/>
      <c r="AG69" s="1138"/>
      <c r="AH69" s="1137"/>
      <c r="AM69" s="1138"/>
      <c r="AO69" s="1137"/>
      <c r="AP69" s="1138"/>
      <c r="BC69" s="1137"/>
      <c r="BD69" s="1137"/>
      <c r="BI69" s="1137"/>
      <c r="BJ69" s="1138"/>
      <c r="BM69" s="1137"/>
      <c r="BN69" s="1138"/>
      <c r="BP69" s="1137"/>
      <c r="BQ69" s="1139"/>
      <c r="BR69" s="1140"/>
      <c r="BS69" s="1138"/>
      <c r="BV69" s="1141"/>
      <c r="BX69" s="1140"/>
      <c r="BY69" s="1137"/>
    </row>
    <row r="70" spans="1:77" ht="39.75" customHeight="1">
      <c r="A70" s="1703"/>
      <c r="B70" s="1640" t="s">
        <v>134</v>
      </c>
      <c r="C70" s="1955" t="str">
        <f>BG4</f>
        <v>　</v>
      </c>
      <c r="D70" s="1956"/>
      <c r="E70" s="1957"/>
      <c r="F70" s="1629"/>
      <c r="G70" s="1640" t="s">
        <v>134</v>
      </c>
      <c r="H70" s="1955" t="e">
        <f>#REF!</f>
        <v>#REF!</v>
      </c>
      <c r="I70" s="1956"/>
      <c r="J70" s="1957"/>
      <c r="K70" s="1629"/>
      <c r="L70" s="1640" t="s">
        <v>134</v>
      </c>
      <c r="M70" s="1955" t="e">
        <f>#REF!</f>
        <v>#REF!</v>
      </c>
      <c r="N70" s="1956"/>
      <c r="O70" s="1957"/>
      <c r="P70" s="1629"/>
      <c r="Q70" s="1640" t="s">
        <v>134</v>
      </c>
      <c r="R70" s="1955" t="e">
        <f>#REF!</f>
        <v>#REF!</v>
      </c>
      <c r="S70" s="1956"/>
      <c r="T70" s="1957"/>
      <c r="U70" s="1629"/>
      <c r="V70" s="1640" t="s">
        <v>134</v>
      </c>
      <c r="W70" s="1955" t="e">
        <f>#REF!</f>
        <v>#REF!</v>
      </c>
      <c r="X70" s="1956"/>
      <c r="Y70" s="1957"/>
      <c r="Z70" s="1619"/>
      <c r="AA70" s="1138"/>
      <c r="AF70" s="1137"/>
      <c r="AG70" s="1138"/>
      <c r="AH70" s="1137"/>
      <c r="AM70" s="1138"/>
      <c r="AO70" s="1137"/>
      <c r="AP70" s="1138"/>
      <c r="BC70" s="1137"/>
      <c r="BD70" s="1137"/>
      <c r="BI70" s="1137"/>
      <c r="BJ70" s="1138"/>
      <c r="BM70" s="1137"/>
      <c r="BN70" s="1138"/>
      <c r="BP70" s="1137"/>
      <c r="BQ70" s="1139"/>
      <c r="BR70" s="1140"/>
      <c r="BS70" s="1138"/>
      <c r="BV70" s="1141"/>
      <c r="BX70" s="1140"/>
      <c r="BY70" s="1137"/>
    </row>
    <row r="71" spans="1:77" ht="39.75" customHeight="1">
      <c r="A71" s="1704"/>
      <c r="B71" s="1705"/>
      <c r="C71" s="1958" t="str">
        <f>L32</f>
        <v>東隣接地域に土地区画整理事業が計画されている。</v>
      </c>
      <c r="D71" s="1959"/>
      <c r="E71" s="1960"/>
      <c r="F71" s="1704"/>
      <c r="G71" s="1705"/>
      <c r="H71" s="1958" t="str">
        <f>L33</f>
        <v> </v>
      </c>
      <c r="I71" s="1959"/>
      <c r="J71" s="1960"/>
      <c r="K71" s="1704"/>
      <c r="L71" s="1705"/>
      <c r="M71" s="1958" t="str">
        <f>L34</f>
        <v> </v>
      </c>
      <c r="N71" s="1959"/>
      <c r="O71" s="1960"/>
      <c r="P71" s="1704"/>
      <c r="Q71" s="1705"/>
      <c r="R71" s="1958" t="str">
        <f>L35</f>
        <v> </v>
      </c>
      <c r="S71" s="1959"/>
      <c r="T71" s="1960"/>
      <c r="U71" s="1704"/>
      <c r="V71" s="1705"/>
      <c r="W71" s="1958" t="str">
        <f>L36</f>
        <v> </v>
      </c>
      <c r="X71" s="1959"/>
      <c r="Y71" s="1960"/>
      <c r="Z71" s="1619"/>
      <c r="AA71" s="1138"/>
      <c r="AF71" s="1137"/>
      <c r="AG71" s="1138"/>
      <c r="AH71" s="1137"/>
      <c r="AM71" s="1138"/>
      <c r="AO71" s="1137"/>
      <c r="AP71" s="1138"/>
      <c r="BC71" s="1137"/>
      <c r="BD71" s="1137"/>
      <c r="BI71" s="1137"/>
      <c r="BJ71" s="1138"/>
      <c r="BM71" s="1137"/>
      <c r="BN71" s="1138"/>
      <c r="BP71" s="1137"/>
      <c r="BQ71" s="1139"/>
      <c r="BR71" s="1140"/>
      <c r="BS71" s="1138"/>
      <c r="BV71" s="1141"/>
      <c r="BX71" s="1140"/>
      <c r="BY71" s="1137"/>
    </row>
    <row r="72" spans="1:77" ht="34.5" customHeight="1">
      <c r="A72" s="1939" t="s">
        <v>405</v>
      </c>
      <c r="B72" s="1940"/>
      <c r="C72" s="1943" t="str">
        <f>M32</f>
        <v>戸建専用住宅用地と判定する。</v>
      </c>
      <c r="D72" s="1944"/>
      <c r="E72" s="1945"/>
      <c r="F72" s="1939" t="s">
        <v>405</v>
      </c>
      <c r="G72" s="1940"/>
      <c r="H72" s="1943" t="str">
        <f>M33</f>
        <v> </v>
      </c>
      <c r="I72" s="1944"/>
      <c r="J72" s="1945"/>
      <c r="K72" s="1939" t="s">
        <v>405</v>
      </c>
      <c r="L72" s="1940"/>
      <c r="M72" s="1943" t="str">
        <f>M34</f>
        <v> </v>
      </c>
      <c r="N72" s="1944"/>
      <c r="O72" s="1945"/>
      <c r="P72" s="1939" t="s">
        <v>405</v>
      </c>
      <c r="Q72" s="1940"/>
      <c r="R72" s="1943" t="str">
        <f>M35</f>
        <v> </v>
      </c>
      <c r="S72" s="1944"/>
      <c r="T72" s="1945"/>
      <c r="U72" s="1939" t="s">
        <v>405</v>
      </c>
      <c r="V72" s="1940"/>
      <c r="W72" s="1943" t="str">
        <f>M36</f>
        <v> </v>
      </c>
      <c r="X72" s="1944"/>
      <c r="Y72" s="1945"/>
      <c r="Z72" s="1619"/>
      <c r="AA72" s="1138"/>
      <c r="AF72" s="1137"/>
      <c r="AG72" s="1138"/>
      <c r="AH72" s="1137"/>
      <c r="AM72" s="1138"/>
      <c r="AO72" s="1137"/>
      <c r="AP72" s="1138"/>
      <c r="BC72" s="1137"/>
      <c r="BD72" s="1137"/>
      <c r="BI72" s="1137"/>
      <c r="BJ72" s="1138"/>
      <c r="BM72" s="1137"/>
      <c r="BN72" s="1138"/>
      <c r="BP72" s="1137"/>
      <c r="BQ72" s="1139"/>
      <c r="BR72" s="1140"/>
      <c r="BS72" s="1138"/>
      <c r="BV72" s="1141"/>
      <c r="BX72" s="1140"/>
      <c r="BY72" s="1137"/>
    </row>
    <row r="73" spans="1:77" ht="34.5" customHeight="1" thickBot="1">
      <c r="A73" s="1941"/>
      <c r="B73" s="1942"/>
      <c r="C73" s="1946"/>
      <c r="D73" s="1947"/>
      <c r="E73" s="1948"/>
      <c r="F73" s="1941"/>
      <c r="G73" s="1942"/>
      <c r="H73" s="1946"/>
      <c r="I73" s="1947"/>
      <c r="J73" s="1948"/>
      <c r="K73" s="1941"/>
      <c r="L73" s="1942"/>
      <c r="M73" s="1946"/>
      <c r="N73" s="1947"/>
      <c r="O73" s="1948"/>
      <c r="P73" s="1941"/>
      <c r="Q73" s="1942"/>
      <c r="R73" s="1946"/>
      <c r="S73" s="1947"/>
      <c r="T73" s="1948"/>
      <c r="U73" s="1941"/>
      <c r="V73" s="1942"/>
      <c r="W73" s="1946"/>
      <c r="X73" s="1947"/>
      <c r="Y73" s="1948"/>
      <c r="Z73" s="1619"/>
      <c r="AA73" s="1138"/>
      <c r="AF73" s="1137"/>
      <c r="AG73" s="1138"/>
      <c r="AH73" s="1137"/>
      <c r="AM73" s="1138"/>
      <c r="AO73" s="1137"/>
      <c r="AP73" s="1138"/>
      <c r="BC73" s="1137"/>
      <c r="BD73" s="1137"/>
      <c r="BI73" s="1137"/>
      <c r="BJ73" s="1138"/>
      <c r="BM73" s="1137"/>
      <c r="BN73" s="1138"/>
      <c r="BP73" s="1137"/>
      <c r="BQ73" s="1139"/>
      <c r="BR73" s="1140"/>
      <c r="BS73" s="1138"/>
      <c r="BV73" s="1141"/>
      <c r="BX73" s="1140"/>
      <c r="BY73" s="1137"/>
    </row>
    <row r="74" spans="1:77" ht="15.75" customHeight="1" thickTop="1">
      <c r="A74" s="1706" t="s">
        <v>1290</v>
      </c>
      <c r="B74" s="1706"/>
      <c r="C74" s="1706"/>
      <c r="D74" s="1706"/>
      <c r="E74" s="1706"/>
      <c r="F74" s="1706" t="s">
        <v>1290</v>
      </c>
      <c r="G74" s="1706"/>
      <c r="H74" s="1706"/>
      <c r="I74" s="1706"/>
      <c r="J74" s="1706"/>
      <c r="K74" s="1706" t="s">
        <v>1290</v>
      </c>
      <c r="L74" s="1706"/>
      <c r="M74" s="1706"/>
      <c r="N74" s="1706"/>
      <c r="O74" s="1706"/>
      <c r="P74" s="1706" t="s">
        <v>1290</v>
      </c>
      <c r="Q74" s="1706"/>
      <c r="R74" s="1706"/>
      <c r="S74" s="1706"/>
      <c r="T74" s="1706"/>
      <c r="U74" s="1706" t="s">
        <v>1290</v>
      </c>
      <c r="V74" s="1706"/>
      <c r="W74" s="1706"/>
      <c r="X74" s="1706"/>
      <c r="Y74" s="1707"/>
      <c r="Z74" s="1619"/>
      <c r="AA74" s="1138"/>
      <c r="AF74" s="1137"/>
      <c r="AG74" s="1138"/>
      <c r="AH74" s="1137"/>
      <c r="AM74" s="1138"/>
      <c r="AO74" s="1137"/>
      <c r="AP74" s="1138"/>
      <c r="BC74" s="1137"/>
      <c r="BD74" s="1137"/>
      <c r="BI74" s="1137"/>
      <c r="BJ74" s="1138"/>
      <c r="BM74" s="1137"/>
      <c r="BN74" s="1138"/>
      <c r="BP74" s="1137"/>
      <c r="BQ74" s="1139"/>
      <c r="BR74" s="1140"/>
      <c r="BS74" s="1138"/>
      <c r="BV74" s="1141"/>
      <c r="BX74" s="1140"/>
      <c r="BY74" s="1137"/>
    </row>
    <row r="75" spans="1:77" ht="15.75" customHeight="1">
      <c r="A75" s="1706" t="s">
        <v>135</v>
      </c>
      <c r="B75" s="1706"/>
      <c r="C75" s="1706"/>
      <c r="D75" s="1706"/>
      <c r="E75" s="1706"/>
      <c r="F75" s="1706" t="s">
        <v>135</v>
      </c>
      <c r="G75" s="1706"/>
      <c r="H75" s="1706"/>
      <c r="I75" s="1706"/>
      <c r="J75" s="1706"/>
      <c r="K75" s="1706" t="s">
        <v>135</v>
      </c>
      <c r="L75" s="1706"/>
      <c r="M75" s="1706"/>
      <c r="N75" s="1706"/>
      <c r="O75" s="1706"/>
      <c r="P75" s="1706" t="s">
        <v>135</v>
      </c>
      <c r="Q75" s="1706"/>
      <c r="R75" s="1706"/>
      <c r="S75" s="1706"/>
      <c r="T75" s="1706"/>
      <c r="U75" s="1706" t="s">
        <v>135</v>
      </c>
      <c r="V75" s="1706"/>
      <c r="W75" s="1706"/>
      <c r="X75" s="1706"/>
      <c r="Y75" s="1707"/>
      <c r="Z75" s="1619"/>
      <c r="AA75" s="1138"/>
      <c r="AF75" s="1137"/>
      <c r="AG75" s="1138"/>
      <c r="AH75" s="1137"/>
      <c r="AM75" s="1138"/>
      <c r="AO75" s="1137"/>
      <c r="AP75" s="1138"/>
      <c r="BC75" s="1137"/>
      <c r="BD75" s="1137"/>
      <c r="BI75" s="1137"/>
      <c r="BJ75" s="1138"/>
      <c r="BM75" s="1137"/>
      <c r="BN75" s="1138"/>
      <c r="BP75" s="1137"/>
      <c r="BQ75" s="1139"/>
      <c r="BR75" s="1140"/>
      <c r="BS75" s="1138"/>
      <c r="BV75" s="1141"/>
      <c r="BX75" s="1140"/>
      <c r="BY75" s="1137"/>
    </row>
    <row r="76" spans="1:77" ht="21.75" customHeight="1">
      <c r="A76" s="1619"/>
      <c r="B76" s="1619"/>
      <c r="C76" s="1619"/>
      <c r="D76" s="1619"/>
      <c r="E76" s="1619"/>
      <c r="F76" s="1708"/>
      <c r="G76" s="1619"/>
      <c r="H76" s="1619"/>
      <c r="I76" s="1619"/>
      <c r="J76" s="1619"/>
      <c r="K76" s="1709"/>
      <c r="L76" s="1709"/>
      <c r="M76" s="1709"/>
      <c r="N76" s="1709"/>
      <c r="O76" s="1619"/>
      <c r="P76" s="1709"/>
      <c r="Q76" s="1619"/>
      <c r="R76" s="1709"/>
      <c r="S76" s="1709"/>
      <c r="T76" s="1709"/>
      <c r="U76" s="1619"/>
      <c r="V76" s="1709"/>
      <c r="W76" s="1709"/>
      <c r="X76" s="1709"/>
      <c r="Y76" s="1710"/>
      <c r="Z76" s="1619"/>
      <c r="AA76" s="1138"/>
      <c r="AF76" s="1137"/>
      <c r="AG76" s="1138"/>
      <c r="AH76" s="1137"/>
      <c r="AM76" s="1138"/>
      <c r="AO76" s="1137"/>
      <c r="AP76" s="1138"/>
      <c r="BC76" s="1137"/>
      <c r="BD76" s="1137"/>
      <c r="BI76" s="1137"/>
      <c r="BJ76" s="1138"/>
      <c r="BM76" s="1137"/>
      <c r="BN76" s="1138"/>
      <c r="BP76" s="1137"/>
      <c r="BQ76" s="1139"/>
      <c r="BR76" s="1140"/>
      <c r="BS76" s="1138"/>
      <c r="BV76" s="1141"/>
      <c r="BX76" s="1140"/>
      <c r="BY76" s="1137"/>
    </row>
    <row r="77" spans="1:77" ht="21.75" customHeight="1">
      <c r="A77" s="1619"/>
      <c r="B77" s="1619"/>
      <c r="C77" s="1619"/>
      <c r="D77" s="1619"/>
      <c r="E77" s="1619"/>
      <c r="F77" s="1708"/>
      <c r="G77" s="1619"/>
      <c r="H77" s="1619"/>
      <c r="I77" s="1619"/>
      <c r="J77" s="1619"/>
      <c r="K77" s="1709"/>
      <c r="L77" s="1709"/>
      <c r="M77" s="1709"/>
      <c r="N77" s="1709"/>
      <c r="O77" s="1619"/>
      <c r="P77" s="1709"/>
      <c r="Q77" s="1619"/>
      <c r="R77" s="1709"/>
      <c r="S77" s="1709"/>
      <c r="T77" s="1709"/>
      <c r="U77" s="1619"/>
      <c r="V77" s="1709"/>
      <c r="W77" s="1709"/>
      <c r="X77" s="1709"/>
      <c r="Y77" s="1710"/>
      <c r="Z77" s="1619"/>
      <c r="AA77" s="1138"/>
      <c r="AF77" s="1137"/>
      <c r="AG77" s="1138"/>
      <c r="AH77" s="1137"/>
      <c r="AM77" s="1138"/>
      <c r="AO77" s="1137"/>
      <c r="AP77" s="1138"/>
      <c r="BC77" s="1137"/>
      <c r="BD77" s="1137"/>
      <c r="BI77" s="1137"/>
      <c r="BJ77" s="1138"/>
      <c r="BM77" s="1137"/>
      <c r="BN77" s="1138"/>
      <c r="BP77" s="1137"/>
      <c r="BQ77" s="1139"/>
      <c r="BR77" s="1140"/>
      <c r="BS77" s="1138"/>
      <c r="BV77" s="1141"/>
      <c r="BX77" s="1140"/>
      <c r="BY77" s="1137"/>
    </row>
    <row r="78" spans="1:77" ht="18" customHeight="1">
      <c r="A78" s="1619" t="s">
        <v>243</v>
      </c>
      <c r="B78" s="1619"/>
      <c r="C78" s="1619" t="s">
        <v>285</v>
      </c>
      <c r="D78" s="1619"/>
      <c r="E78" s="1619" t="s">
        <v>285</v>
      </c>
      <c r="F78" s="1708"/>
      <c r="G78" s="1619" t="s">
        <v>175</v>
      </c>
      <c r="H78" s="1619"/>
      <c r="I78" s="1619"/>
      <c r="J78" s="1619"/>
      <c r="K78" s="1709"/>
      <c r="L78" s="1709"/>
      <c r="M78" s="1709"/>
      <c r="N78" s="1709"/>
      <c r="O78" s="1619"/>
      <c r="P78" s="1709"/>
      <c r="Q78" s="1619"/>
      <c r="R78" s="1709"/>
      <c r="S78" s="1709"/>
      <c r="T78" s="1709"/>
      <c r="U78" s="1619"/>
      <c r="V78" s="1709"/>
      <c r="W78" s="1709"/>
      <c r="X78" s="1709"/>
      <c r="Y78" s="1710"/>
      <c r="Z78" s="1619"/>
      <c r="AA78" s="1138"/>
      <c r="AF78" s="1137"/>
      <c r="AG78" s="1138"/>
      <c r="AH78" s="1137"/>
      <c r="AM78" s="1138"/>
      <c r="AO78" s="1137"/>
      <c r="AP78" s="1138"/>
      <c r="BC78" s="1137"/>
      <c r="BD78" s="1137"/>
      <c r="BI78" s="1137"/>
      <c r="BJ78" s="1138"/>
      <c r="BM78" s="1137"/>
      <c r="BN78" s="1138"/>
      <c r="BP78" s="1137"/>
      <c r="BQ78" s="1139"/>
      <c r="BR78" s="1140"/>
      <c r="BS78" s="1138"/>
      <c r="BV78" s="1141"/>
      <c r="BX78" s="1140"/>
      <c r="BY78" s="1137"/>
    </row>
    <row r="79" spans="1:78" ht="18" customHeight="1">
      <c r="A79" s="1711" t="s">
        <v>176</v>
      </c>
      <c r="B79" s="1711" t="s">
        <v>252</v>
      </c>
      <c r="C79" s="1711" t="s">
        <v>253</v>
      </c>
      <c r="D79" s="1711" t="s">
        <v>449</v>
      </c>
      <c r="E79" s="1711" t="s">
        <v>450</v>
      </c>
      <c r="F79" s="1711" t="s">
        <v>255</v>
      </c>
      <c r="G79" s="1712" t="s">
        <v>256</v>
      </c>
      <c r="H79" s="1711" t="s">
        <v>257</v>
      </c>
      <c r="I79" s="1711" t="s">
        <v>140</v>
      </c>
      <c r="J79" s="1711" t="s">
        <v>141</v>
      </c>
      <c r="K79" s="1711" t="s">
        <v>142</v>
      </c>
      <c r="L79" s="1711" t="s">
        <v>159</v>
      </c>
      <c r="M79" s="1711" t="s">
        <v>160</v>
      </c>
      <c r="N79" s="1713" t="s">
        <v>49</v>
      </c>
      <c r="O79" s="1713" t="s">
        <v>50</v>
      </c>
      <c r="P79" s="1709"/>
      <c r="Q79" s="1709"/>
      <c r="R79" s="1619"/>
      <c r="S79" s="1709"/>
      <c r="T79" s="1619"/>
      <c r="U79" s="1709"/>
      <c r="V79" s="1709"/>
      <c r="W79" s="1709"/>
      <c r="X79" s="1619"/>
      <c r="Y79" s="1709"/>
      <c r="Z79" s="1709"/>
      <c r="AA79" s="1143"/>
      <c r="AC79" s="1137"/>
      <c r="AG79" s="1138"/>
      <c r="AJ79" s="1138"/>
      <c r="AN79" s="1137"/>
      <c r="AO79" s="1137"/>
      <c r="AP79" s="1138"/>
      <c r="AS79" s="1137"/>
      <c r="BE79" s="1138"/>
      <c r="BI79" s="1137"/>
      <c r="BK79" s="1137"/>
      <c r="BN79" s="1138"/>
      <c r="BO79" s="1137"/>
      <c r="BQ79" s="1138"/>
      <c r="BR79" s="1137"/>
      <c r="BS79" s="1139"/>
      <c r="BT79" s="1140"/>
      <c r="BW79" s="1138"/>
      <c r="BY79" s="1141"/>
      <c r="BZ79" s="1140"/>
    </row>
    <row r="80" spans="1:78" ht="18" customHeight="1">
      <c r="A80" s="1144">
        <f>A4</f>
        <v>1</v>
      </c>
      <c r="B80" s="1146">
        <f>IF(P4&lt;4,4,P4)</f>
        <v>5.5</v>
      </c>
      <c r="C80" s="1144">
        <f>AV4</f>
        <v>16</v>
      </c>
      <c r="D80" s="1144">
        <f>ROUND(IF(C80=0,B80*0.6,IF(OR(C80=4,C80=5),B80*0.6,B80*0.4))*100,0)</f>
        <v>220</v>
      </c>
      <c r="E80" s="1144">
        <f>AW4</f>
        <v>200</v>
      </c>
      <c r="F80" s="1145">
        <f>MIN(D80:E80)</f>
        <v>200</v>
      </c>
      <c r="G80" s="1144">
        <f>AX4</f>
        <v>60</v>
      </c>
      <c r="H80" s="1144">
        <f>X4</f>
        <v>6</v>
      </c>
      <c r="I80" s="1144">
        <f>AY4</f>
        <v>2</v>
      </c>
      <c r="J80" s="1146">
        <f>P4</f>
        <v>5.5</v>
      </c>
      <c r="K80" s="1144">
        <f>IF(OR(H80=1,H80=3,H80=4,H80=5),10,0)</f>
        <v>0</v>
      </c>
      <c r="L80" s="1144">
        <f>IF(AND(C80=4,I80=1),0,IF(AND(C80=5,I80=1),0,IF(I80=1,10,0)))</f>
        <v>0</v>
      </c>
      <c r="M80" s="1144">
        <f>IF(J80&gt;=20,10,0)</f>
        <v>0</v>
      </c>
      <c r="N80" s="1145">
        <f>G80+K80+L80+M80</f>
        <v>60</v>
      </c>
      <c r="O80" s="1144">
        <f>IF(N80&gt;=100,100,IF(AND(C80=4,I80=1),100,IF(AND(C80=5,I80=1),100,N80)))</f>
        <v>60</v>
      </c>
      <c r="S80" s="1137"/>
      <c r="U80" s="1138"/>
      <c r="W80" s="1137"/>
      <c r="Z80" s="1138"/>
      <c r="AA80" s="1143"/>
      <c r="AB80" s="1137"/>
      <c r="AG80" s="1138"/>
      <c r="AH80" s="1137"/>
      <c r="AI80" s="1138"/>
      <c r="AN80" s="1137"/>
      <c r="AP80" s="1138"/>
      <c r="AQ80" s="1137"/>
      <c r="BI80" s="1137"/>
      <c r="BK80" s="1137"/>
      <c r="BN80" s="1138"/>
      <c r="BO80" s="1137"/>
      <c r="BQ80" s="1138"/>
      <c r="BR80" s="1137"/>
      <c r="BS80" s="1139"/>
      <c r="BT80" s="1140"/>
      <c r="BW80" s="1138"/>
      <c r="BY80" s="1141"/>
      <c r="BZ80" s="1140"/>
    </row>
    <row r="81" spans="1:78" ht="18" customHeight="1">
      <c r="A81" s="1144" t="e">
        <f>#REF!</f>
        <v>#REF!</v>
      </c>
      <c r="B81" s="1146" t="e">
        <f>IF(#REF!&lt;4,4,#REF!)</f>
        <v>#REF!</v>
      </c>
      <c r="C81" s="1144" t="e">
        <f>#REF!</f>
        <v>#REF!</v>
      </c>
      <c r="D81" s="1144" t="e">
        <f aca="true" t="shared" si="0" ref="D81:D106">ROUND(IF(C81=0,B81*0.6,IF(OR(C81=4,C81=5),B81*0.6,B81*0.4))*100,0)</f>
        <v>#REF!</v>
      </c>
      <c r="E81" s="1144" t="e">
        <f>#REF!</f>
        <v>#REF!</v>
      </c>
      <c r="F81" s="1145" t="e">
        <f aca="true" t="shared" si="1" ref="F81:F106">MIN(D81:E81)</f>
        <v>#REF!</v>
      </c>
      <c r="G81" s="1144" t="e">
        <f>#REF!</f>
        <v>#REF!</v>
      </c>
      <c r="H81" s="1144" t="e">
        <f>#REF!</f>
        <v>#REF!</v>
      </c>
      <c r="I81" s="1144" t="e">
        <f>#REF!</f>
        <v>#REF!</v>
      </c>
      <c r="J81" s="1146" t="e">
        <f>#REF!</f>
        <v>#REF!</v>
      </c>
      <c r="K81" s="1144" t="e">
        <f aca="true" t="shared" si="2" ref="K81:K106">IF(OR(H81=1,H81=3,H81=4,H81=5),10,0)</f>
        <v>#REF!</v>
      </c>
      <c r="L81" s="1144" t="e">
        <f aca="true" t="shared" si="3" ref="L81:L106">IF(AND(C81=4,I81=1),0,IF(AND(C81=5,I81=1),0,IF(I81=1,10,0)))</f>
        <v>#REF!</v>
      </c>
      <c r="M81" s="1144" t="e">
        <f aca="true" t="shared" si="4" ref="M81:M106">IF(J81&gt;=20,10,0)</f>
        <v>#REF!</v>
      </c>
      <c r="N81" s="1145" t="e">
        <f aca="true" t="shared" si="5" ref="N81:N106">G81+K81+L81+M81</f>
        <v>#REF!</v>
      </c>
      <c r="O81" s="1144" t="e">
        <f aca="true" t="shared" si="6" ref="O81:O106">IF(N81&gt;=100,100,IF(AND(C81=4,I81=1),100,IF(AND(C81=5,I81=1),100,N81)))</f>
        <v>#REF!</v>
      </c>
      <c r="S81" s="1137"/>
      <c r="U81" s="1138"/>
      <c r="W81" s="1137"/>
      <c r="Z81" s="1138"/>
      <c r="AA81" s="1143"/>
      <c r="AB81" s="1137"/>
      <c r="AG81" s="1138"/>
      <c r="AH81" s="1137"/>
      <c r="AI81" s="1138"/>
      <c r="AN81" s="1137"/>
      <c r="AP81" s="1138"/>
      <c r="AQ81" s="1137"/>
      <c r="BI81" s="1137"/>
      <c r="BK81" s="1137"/>
      <c r="BN81" s="1138"/>
      <c r="BO81" s="1137"/>
      <c r="BQ81" s="1138"/>
      <c r="BR81" s="1137"/>
      <c r="BS81" s="1139"/>
      <c r="BT81" s="1140"/>
      <c r="BW81" s="1138"/>
      <c r="BY81" s="1141"/>
      <c r="BZ81" s="1140"/>
    </row>
    <row r="82" spans="1:78" ht="18" customHeight="1">
      <c r="A82" s="1144" t="e">
        <f>#REF!</f>
        <v>#REF!</v>
      </c>
      <c r="B82" s="1146" t="e">
        <f>IF(#REF!&lt;4,4,#REF!)</f>
        <v>#REF!</v>
      </c>
      <c r="C82" s="1144" t="e">
        <f>#REF!</f>
        <v>#REF!</v>
      </c>
      <c r="D82" s="1144" t="e">
        <f t="shared" si="0"/>
        <v>#REF!</v>
      </c>
      <c r="E82" s="1144" t="e">
        <f>#REF!</f>
        <v>#REF!</v>
      </c>
      <c r="F82" s="1145" t="e">
        <f t="shared" si="1"/>
        <v>#REF!</v>
      </c>
      <c r="G82" s="1144" t="e">
        <f>#REF!</f>
        <v>#REF!</v>
      </c>
      <c r="H82" s="1144" t="e">
        <f>#REF!</f>
        <v>#REF!</v>
      </c>
      <c r="I82" s="1144" t="e">
        <f>#REF!</f>
        <v>#REF!</v>
      </c>
      <c r="J82" s="1146" t="e">
        <f>#REF!</f>
        <v>#REF!</v>
      </c>
      <c r="K82" s="1144" t="e">
        <f t="shared" si="2"/>
        <v>#REF!</v>
      </c>
      <c r="L82" s="1144" t="e">
        <f t="shared" si="3"/>
        <v>#REF!</v>
      </c>
      <c r="M82" s="1144" t="e">
        <f t="shared" si="4"/>
        <v>#REF!</v>
      </c>
      <c r="N82" s="1145" t="e">
        <f t="shared" si="5"/>
        <v>#REF!</v>
      </c>
      <c r="O82" s="1144" t="e">
        <f t="shared" si="6"/>
        <v>#REF!</v>
      </c>
      <c r="S82" s="1137"/>
      <c r="U82" s="1138"/>
      <c r="W82" s="1137"/>
      <c r="Z82" s="1138"/>
      <c r="AA82" s="1143"/>
      <c r="AB82" s="1137"/>
      <c r="AG82" s="1138"/>
      <c r="AH82" s="1137"/>
      <c r="AI82" s="1138"/>
      <c r="AN82" s="1137"/>
      <c r="AP82" s="1138"/>
      <c r="AQ82" s="1137"/>
      <c r="BI82" s="1137"/>
      <c r="BK82" s="1137"/>
      <c r="BN82" s="1138"/>
      <c r="BO82" s="1137"/>
      <c r="BQ82" s="1138"/>
      <c r="BR82" s="1137"/>
      <c r="BS82" s="1139"/>
      <c r="BT82" s="1140"/>
      <c r="BW82" s="1138"/>
      <c r="BY82" s="1141"/>
      <c r="BZ82" s="1140"/>
    </row>
    <row r="83" spans="1:78" ht="18" customHeight="1">
      <c r="A83" s="1144" t="e">
        <f>#REF!</f>
        <v>#REF!</v>
      </c>
      <c r="B83" s="1146" t="e">
        <f>IF(#REF!&lt;4,4,#REF!)</f>
        <v>#REF!</v>
      </c>
      <c r="C83" s="1144" t="e">
        <f>#REF!</f>
        <v>#REF!</v>
      </c>
      <c r="D83" s="1144" t="e">
        <f t="shared" si="0"/>
        <v>#REF!</v>
      </c>
      <c r="E83" s="1144" t="e">
        <f>#REF!</f>
        <v>#REF!</v>
      </c>
      <c r="F83" s="1145" t="e">
        <f t="shared" si="1"/>
        <v>#REF!</v>
      </c>
      <c r="G83" s="1144" t="e">
        <f>#REF!</f>
        <v>#REF!</v>
      </c>
      <c r="H83" s="1144" t="e">
        <f>#REF!</f>
        <v>#REF!</v>
      </c>
      <c r="I83" s="1144" t="e">
        <f>#REF!</f>
        <v>#REF!</v>
      </c>
      <c r="J83" s="1146" t="e">
        <f>#REF!</f>
        <v>#REF!</v>
      </c>
      <c r="K83" s="1144" t="e">
        <f t="shared" si="2"/>
        <v>#REF!</v>
      </c>
      <c r="L83" s="1144" t="e">
        <f t="shared" si="3"/>
        <v>#REF!</v>
      </c>
      <c r="M83" s="1144" t="e">
        <f t="shared" si="4"/>
        <v>#REF!</v>
      </c>
      <c r="N83" s="1145" t="e">
        <f t="shared" si="5"/>
        <v>#REF!</v>
      </c>
      <c r="O83" s="1144" t="e">
        <f t="shared" si="6"/>
        <v>#REF!</v>
      </c>
      <c r="S83" s="1137"/>
      <c r="U83" s="1138"/>
      <c r="W83" s="1137"/>
      <c r="Z83" s="1138"/>
      <c r="AA83" s="1143"/>
      <c r="AB83" s="1137"/>
      <c r="AG83" s="1138"/>
      <c r="AH83" s="1137"/>
      <c r="AI83" s="1138"/>
      <c r="AN83" s="1137"/>
      <c r="AP83" s="1138"/>
      <c r="AQ83" s="1137"/>
      <c r="BI83" s="1137"/>
      <c r="BK83" s="1137"/>
      <c r="BN83" s="1138"/>
      <c r="BO83" s="1137"/>
      <c r="BQ83" s="1138"/>
      <c r="BR83" s="1137"/>
      <c r="BS83" s="1139"/>
      <c r="BT83" s="1140"/>
      <c r="BW83" s="1138"/>
      <c r="BY83" s="1141"/>
      <c r="BZ83" s="1140"/>
    </row>
    <row r="84" spans="1:78" ht="18" customHeight="1">
      <c r="A84" s="1144" t="e">
        <f>#REF!</f>
        <v>#REF!</v>
      </c>
      <c r="B84" s="1146" t="e">
        <f>IF(#REF!&lt;4,4,#REF!)</f>
        <v>#REF!</v>
      </c>
      <c r="C84" s="1144" t="e">
        <f>#REF!</f>
        <v>#REF!</v>
      </c>
      <c r="D84" s="1144" t="e">
        <f t="shared" si="0"/>
        <v>#REF!</v>
      </c>
      <c r="E84" s="1144" t="e">
        <f>#REF!</f>
        <v>#REF!</v>
      </c>
      <c r="F84" s="1145" t="e">
        <f t="shared" si="1"/>
        <v>#REF!</v>
      </c>
      <c r="G84" s="1144" t="e">
        <f>#REF!</f>
        <v>#REF!</v>
      </c>
      <c r="H84" s="1144" t="e">
        <f>#REF!</f>
        <v>#REF!</v>
      </c>
      <c r="I84" s="1144" t="e">
        <f>#REF!</f>
        <v>#REF!</v>
      </c>
      <c r="J84" s="1146" t="e">
        <f>#REF!</f>
        <v>#REF!</v>
      </c>
      <c r="K84" s="1144" t="e">
        <f t="shared" si="2"/>
        <v>#REF!</v>
      </c>
      <c r="L84" s="1144" t="e">
        <f t="shared" si="3"/>
        <v>#REF!</v>
      </c>
      <c r="M84" s="1144" t="e">
        <f t="shared" si="4"/>
        <v>#REF!</v>
      </c>
      <c r="N84" s="1145" t="e">
        <f t="shared" si="5"/>
        <v>#REF!</v>
      </c>
      <c r="O84" s="1144" t="e">
        <f t="shared" si="6"/>
        <v>#REF!</v>
      </c>
      <c r="S84" s="1137"/>
      <c r="U84" s="1138"/>
      <c r="W84" s="1137"/>
      <c r="Z84" s="1138"/>
      <c r="AA84" s="1143"/>
      <c r="AB84" s="1137"/>
      <c r="AG84" s="1138"/>
      <c r="AH84" s="1137"/>
      <c r="AI84" s="1138"/>
      <c r="AN84" s="1137"/>
      <c r="AP84" s="1138"/>
      <c r="AQ84" s="1137"/>
      <c r="BI84" s="1137"/>
      <c r="BK84" s="1137"/>
      <c r="BN84" s="1138"/>
      <c r="BO84" s="1137"/>
      <c r="BQ84" s="1138"/>
      <c r="BR84" s="1137"/>
      <c r="BS84" s="1139"/>
      <c r="BT84" s="1140"/>
      <c r="BW84" s="1138"/>
      <c r="BY84" s="1141"/>
      <c r="BZ84" s="1140"/>
    </row>
    <row r="85" spans="1:78" ht="18" customHeight="1">
      <c r="A85" s="1144">
        <f>A5</f>
        <v>6</v>
      </c>
      <c r="B85" s="1146">
        <f>IF(P5&lt;4,4,P5)</f>
        <v>5.5</v>
      </c>
      <c r="C85" s="1144">
        <f>AV5</f>
        <v>14</v>
      </c>
      <c r="D85" s="1144">
        <f t="shared" si="0"/>
        <v>220</v>
      </c>
      <c r="E85" s="1144">
        <f>AW5</f>
        <v>200</v>
      </c>
      <c r="F85" s="1145">
        <f t="shared" si="1"/>
        <v>200</v>
      </c>
      <c r="G85" s="1144">
        <f>AX5</f>
        <v>60</v>
      </c>
      <c r="H85" s="1144">
        <f>X5</f>
        <v>6</v>
      </c>
      <c r="I85" s="1144">
        <f>AY5</f>
        <v>2</v>
      </c>
      <c r="J85" s="1146">
        <f>P5</f>
        <v>5.5</v>
      </c>
      <c r="K85" s="1144">
        <f t="shared" si="2"/>
        <v>0</v>
      </c>
      <c r="L85" s="1144">
        <f t="shared" si="3"/>
        <v>0</v>
      </c>
      <c r="M85" s="1144">
        <f t="shared" si="4"/>
        <v>0</v>
      </c>
      <c r="N85" s="1145">
        <f t="shared" si="5"/>
        <v>60</v>
      </c>
      <c r="O85" s="1144">
        <f t="shared" si="6"/>
        <v>60</v>
      </c>
      <c r="S85" s="1137"/>
      <c r="U85" s="1138"/>
      <c r="W85" s="1137"/>
      <c r="Z85" s="1138"/>
      <c r="AA85" s="1143"/>
      <c r="AB85" s="1137"/>
      <c r="AG85" s="1138"/>
      <c r="AH85" s="1137"/>
      <c r="AI85" s="1138"/>
      <c r="AN85" s="1137"/>
      <c r="AP85" s="1138"/>
      <c r="AQ85" s="1137"/>
      <c r="BI85" s="1137"/>
      <c r="BK85" s="1137"/>
      <c r="BN85" s="1138"/>
      <c r="BO85" s="1137"/>
      <c r="BQ85" s="1138"/>
      <c r="BR85" s="1137"/>
      <c r="BS85" s="1139"/>
      <c r="BT85" s="1140"/>
      <c r="BW85" s="1138"/>
      <c r="BY85" s="1141"/>
      <c r="BZ85" s="1140"/>
    </row>
    <row r="86" spans="1:78" ht="18" customHeight="1">
      <c r="A86" s="1144" t="e">
        <f>#REF!</f>
        <v>#REF!</v>
      </c>
      <c r="B86" s="1146" t="e">
        <f>IF(#REF!&lt;4,4,#REF!)</f>
        <v>#REF!</v>
      </c>
      <c r="C86" s="1144" t="e">
        <f>#REF!</f>
        <v>#REF!</v>
      </c>
      <c r="D86" s="1144" t="e">
        <f t="shared" si="0"/>
        <v>#REF!</v>
      </c>
      <c r="E86" s="1144" t="e">
        <f>#REF!</f>
        <v>#REF!</v>
      </c>
      <c r="F86" s="1145" t="e">
        <f t="shared" si="1"/>
        <v>#REF!</v>
      </c>
      <c r="G86" s="1144" t="e">
        <f>#REF!</f>
        <v>#REF!</v>
      </c>
      <c r="H86" s="1144" t="e">
        <f>#REF!</f>
        <v>#REF!</v>
      </c>
      <c r="I86" s="1144" t="e">
        <f>#REF!</f>
        <v>#REF!</v>
      </c>
      <c r="J86" s="1146" t="e">
        <f>#REF!</f>
        <v>#REF!</v>
      </c>
      <c r="K86" s="1144" t="e">
        <f t="shared" si="2"/>
        <v>#REF!</v>
      </c>
      <c r="L86" s="1144" t="e">
        <f t="shared" si="3"/>
        <v>#REF!</v>
      </c>
      <c r="M86" s="1144" t="e">
        <f t="shared" si="4"/>
        <v>#REF!</v>
      </c>
      <c r="N86" s="1145" t="e">
        <f t="shared" si="5"/>
        <v>#REF!</v>
      </c>
      <c r="O86" s="1144" t="e">
        <f t="shared" si="6"/>
        <v>#REF!</v>
      </c>
      <c r="S86" s="1137"/>
      <c r="U86" s="1138"/>
      <c r="W86" s="1137"/>
      <c r="Z86" s="1138"/>
      <c r="AA86" s="1143"/>
      <c r="AB86" s="1137"/>
      <c r="AG86" s="1138"/>
      <c r="AH86" s="1137"/>
      <c r="AI86" s="1138"/>
      <c r="AN86" s="1137"/>
      <c r="AP86" s="1138"/>
      <c r="AQ86" s="1137"/>
      <c r="BI86" s="1137"/>
      <c r="BK86" s="1137"/>
      <c r="BN86" s="1138"/>
      <c r="BO86" s="1137"/>
      <c r="BQ86" s="1138"/>
      <c r="BR86" s="1137"/>
      <c r="BS86" s="1139"/>
      <c r="BT86" s="1140"/>
      <c r="BW86" s="1138"/>
      <c r="BY86" s="1141"/>
      <c r="BZ86" s="1140"/>
    </row>
    <row r="87" spans="1:78" ht="18" customHeight="1">
      <c r="A87" s="1144">
        <f aca="true" t="shared" si="7" ref="A87:A106">A6</f>
        <v>8</v>
      </c>
      <c r="B87" s="1147">
        <f aca="true" t="shared" si="8" ref="B87:B106">IF(P6&lt;4,4,P6)</f>
        <v>5.5</v>
      </c>
      <c r="C87" s="1144">
        <f aca="true" t="shared" si="9" ref="C87:C106">AV6</f>
        <v>14</v>
      </c>
      <c r="D87" s="1144">
        <f t="shared" si="0"/>
        <v>220</v>
      </c>
      <c r="E87" s="1144">
        <f aca="true" t="shared" si="10" ref="E87:E106">AW6</f>
        <v>200</v>
      </c>
      <c r="F87" s="1145">
        <f t="shared" si="1"/>
        <v>200</v>
      </c>
      <c r="G87" s="1144">
        <f aca="true" t="shared" si="11" ref="G87:G106">AX6</f>
        <v>60</v>
      </c>
      <c r="H87" s="1144">
        <f aca="true" t="shared" si="12" ref="H87:H106">X6</f>
        <v>6</v>
      </c>
      <c r="I87" s="1144">
        <f aca="true" t="shared" si="13" ref="I87:I106">AY6</f>
        <v>2</v>
      </c>
      <c r="J87" s="1146">
        <f aca="true" t="shared" si="14" ref="J87:J106">P6</f>
        <v>5.5</v>
      </c>
      <c r="K87" s="1144">
        <f t="shared" si="2"/>
        <v>0</v>
      </c>
      <c r="L87" s="1144">
        <f t="shared" si="3"/>
        <v>0</v>
      </c>
      <c r="M87" s="1144">
        <f t="shared" si="4"/>
        <v>0</v>
      </c>
      <c r="N87" s="1145">
        <f t="shared" si="5"/>
        <v>60</v>
      </c>
      <c r="O87" s="1144">
        <f t="shared" si="6"/>
        <v>60</v>
      </c>
      <c r="S87" s="1137"/>
      <c r="U87" s="1138"/>
      <c r="W87" s="1137"/>
      <c r="Z87" s="1138"/>
      <c r="AA87" s="1143"/>
      <c r="AB87" s="1137"/>
      <c r="AG87" s="1138"/>
      <c r="AH87" s="1137"/>
      <c r="AI87" s="1138"/>
      <c r="AN87" s="1137"/>
      <c r="AP87" s="1138"/>
      <c r="AQ87" s="1137"/>
      <c r="BI87" s="1137"/>
      <c r="BK87" s="1137"/>
      <c r="BN87" s="1138"/>
      <c r="BO87" s="1137"/>
      <c r="BQ87" s="1138"/>
      <c r="BR87" s="1137"/>
      <c r="BS87" s="1139"/>
      <c r="BT87" s="1140"/>
      <c r="BW87" s="1138"/>
      <c r="BY87" s="1141"/>
      <c r="BZ87" s="1140"/>
    </row>
    <row r="88" spans="1:78" ht="18" customHeight="1">
      <c r="A88" s="1144">
        <f t="shared" si="7"/>
        <v>9</v>
      </c>
      <c r="B88" s="1146">
        <f t="shared" si="8"/>
        <v>5</v>
      </c>
      <c r="C88" s="1144">
        <f t="shared" si="9"/>
        <v>14</v>
      </c>
      <c r="D88" s="1144">
        <f t="shared" si="0"/>
        <v>200</v>
      </c>
      <c r="E88" s="1144">
        <f t="shared" si="10"/>
        <v>200</v>
      </c>
      <c r="F88" s="1145">
        <f t="shared" si="1"/>
        <v>200</v>
      </c>
      <c r="G88" s="1144">
        <f t="shared" si="11"/>
        <v>60</v>
      </c>
      <c r="H88" s="1144">
        <f t="shared" si="12"/>
        <v>6</v>
      </c>
      <c r="I88" s="1144">
        <f t="shared" si="13"/>
        <v>2</v>
      </c>
      <c r="J88" s="1146">
        <f t="shared" si="14"/>
        <v>5</v>
      </c>
      <c r="K88" s="1144">
        <f t="shared" si="2"/>
        <v>0</v>
      </c>
      <c r="L88" s="1144">
        <f t="shared" si="3"/>
        <v>0</v>
      </c>
      <c r="M88" s="1144">
        <f t="shared" si="4"/>
        <v>0</v>
      </c>
      <c r="N88" s="1145">
        <f t="shared" si="5"/>
        <v>60</v>
      </c>
      <c r="O88" s="1144">
        <f t="shared" si="6"/>
        <v>60</v>
      </c>
      <c r="S88" s="1137"/>
      <c r="U88" s="1138"/>
      <c r="W88" s="1137"/>
      <c r="Z88" s="1138"/>
      <c r="AA88" s="1143"/>
      <c r="AB88" s="1137"/>
      <c r="AG88" s="1138"/>
      <c r="AH88" s="1137"/>
      <c r="AI88" s="1138"/>
      <c r="AN88" s="1137"/>
      <c r="AP88" s="1138"/>
      <c r="AQ88" s="1137"/>
      <c r="BI88" s="1137"/>
      <c r="BK88" s="1137"/>
      <c r="BN88" s="1138"/>
      <c r="BO88" s="1137"/>
      <c r="BQ88" s="1138"/>
      <c r="BR88" s="1137"/>
      <c r="BS88" s="1139"/>
      <c r="BT88" s="1140"/>
      <c r="BW88" s="1138"/>
      <c r="BY88" s="1141"/>
      <c r="BZ88" s="1140"/>
    </row>
    <row r="89" spans="1:78" ht="18" customHeight="1">
      <c r="A89" s="1144">
        <f t="shared" si="7"/>
        <v>10</v>
      </c>
      <c r="B89" s="1146">
        <f t="shared" si="8"/>
        <v>5.5</v>
      </c>
      <c r="C89" s="1144">
        <f t="shared" si="9"/>
        <v>14</v>
      </c>
      <c r="D89" s="1144">
        <f t="shared" si="0"/>
        <v>220</v>
      </c>
      <c r="E89" s="1144">
        <f t="shared" si="10"/>
        <v>200</v>
      </c>
      <c r="F89" s="1145">
        <f t="shared" si="1"/>
        <v>200</v>
      </c>
      <c r="G89" s="1144">
        <f t="shared" si="11"/>
        <v>60</v>
      </c>
      <c r="H89" s="1144">
        <f t="shared" si="12"/>
        <v>1</v>
      </c>
      <c r="I89" s="1144">
        <f t="shared" si="13"/>
        <v>2</v>
      </c>
      <c r="J89" s="1146">
        <f t="shared" si="14"/>
        <v>5.5</v>
      </c>
      <c r="K89" s="1144">
        <f t="shared" si="2"/>
        <v>10</v>
      </c>
      <c r="L89" s="1144">
        <f t="shared" si="3"/>
        <v>0</v>
      </c>
      <c r="M89" s="1144">
        <f t="shared" si="4"/>
        <v>0</v>
      </c>
      <c r="N89" s="1145">
        <f t="shared" si="5"/>
        <v>70</v>
      </c>
      <c r="O89" s="1144">
        <f t="shared" si="6"/>
        <v>70</v>
      </c>
      <c r="S89" s="1137"/>
      <c r="U89" s="1138"/>
      <c r="W89" s="1137"/>
      <c r="Z89" s="1138"/>
      <c r="AA89" s="1143"/>
      <c r="AB89" s="1137"/>
      <c r="AG89" s="1138"/>
      <c r="AH89" s="1137"/>
      <c r="AI89" s="1138"/>
      <c r="AN89" s="1137"/>
      <c r="AP89" s="1138"/>
      <c r="AQ89" s="1137"/>
      <c r="BI89" s="1137"/>
      <c r="BK89" s="1137"/>
      <c r="BN89" s="1138"/>
      <c r="BO89" s="1137"/>
      <c r="BQ89" s="1138"/>
      <c r="BR89" s="1137"/>
      <c r="BS89" s="1139"/>
      <c r="BT89" s="1140"/>
      <c r="BW89" s="1138"/>
      <c r="BY89" s="1141"/>
      <c r="BZ89" s="1140"/>
    </row>
    <row r="90" spans="1:78" ht="18" customHeight="1">
      <c r="A90" s="1144">
        <f t="shared" si="7"/>
        <v>11</v>
      </c>
      <c r="B90" s="1146">
        <f t="shared" si="8"/>
        <v>4</v>
      </c>
      <c r="C90" s="1144">
        <f t="shared" si="9"/>
        <v>14</v>
      </c>
      <c r="D90" s="1144">
        <f t="shared" si="0"/>
        <v>160</v>
      </c>
      <c r="E90" s="1144">
        <f t="shared" si="10"/>
        <v>200</v>
      </c>
      <c r="F90" s="1145">
        <f t="shared" si="1"/>
        <v>160</v>
      </c>
      <c r="G90" s="1144">
        <f t="shared" si="11"/>
        <v>60</v>
      </c>
      <c r="H90" s="1144">
        <f t="shared" si="12"/>
        <v>1</v>
      </c>
      <c r="I90" s="1144">
        <f t="shared" si="13"/>
        <v>2</v>
      </c>
      <c r="J90" s="1146">
        <f t="shared" si="14"/>
        <v>3.5</v>
      </c>
      <c r="K90" s="1144">
        <f t="shared" si="2"/>
        <v>10</v>
      </c>
      <c r="L90" s="1144">
        <f t="shared" si="3"/>
        <v>0</v>
      </c>
      <c r="M90" s="1144">
        <f t="shared" si="4"/>
        <v>0</v>
      </c>
      <c r="N90" s="1145">
        <f t="shared" si="5"/>
        <v>70</v>
      </c>
      <c r="O90" s="1144">
        <f t="shared" si="6"/>
        <v>70</v>
      </c>
      <c r="S90" s="1137"/>
      <c r="U90" s="1138"/>
      <c r="W90" s="1137"/>
      <c r="Z90" s="1138"/>
      <c r="AA90" s="1143"/>
      <c r="AB90" s="1137"/>
      <c r="AG90" s="1138"/>
      <c r="AH90" s="1137"/>
      <c r="AI90" s="1138"/>
      <c r="AN90" s="1137"/>
      <c r="AP90" s="1138"/>
      <c r="AQ90" s="1137"/>
      <c r="BI90" s="1137"/>
      <c r="BK90" s="1137"/>
      <c r="BN90" s="1138"/>
      <c r="BO90" s="1137"/>
      <c r="BQ90" s="1138"/>
      <c r="BR90" s="1137"/>
      <c r="BS90" s="1139"/>
      <c r="BT90" s="1140"/>
      <c r="BW90" s="1138"/>
      <c r="BY90" s="1141"/>
      <c r="BZ90" s="1140"/>
    </row>
    <row r="91" spans="1:78" ht="18" customHeight="1">
      <c r="A91" s="1144">
        <f t="shared" si="7"/>
        <v>12</v>
      </c>
      <c r="B91" s="1146">
        <f t="shared" si="8"/>
        <v>4</v>
      </c>
      <c r="C91" s="1144">
        <f t="shared" si="9"/>
        <v>4</v>
      </c>
      <c r="D91" s="1144">
        <f t="shared" si="0"/>
        <v>240</v>
      </c>
      <c r="E91" s="1144">
        <f t="shared" si="10"/>
        <v>200</v>
      </c>
      <c r="F91" s="1145">
        <f t="shared" si="1"/>
        <v>200</v>
      </c>
      <c r="G91" s="1144">
        <f t="shared" si="11"/>
        <v>60</v>
      </c>
      <c r="H91" s="1144">
        <f t="shared" si="12"/>
        <v>1</v>
      </c>
      <c r="I91" s="1144">
        <f t="shared" si="13"/>
        <v>2</v>
      </c>
      <c r="J91" s="1146">
        <f t="shared" si="14"/>
        <v>4</v>
      </c>
      <c r="K91" s="1144">
        <f t="shared" si="2"/>
        <v>10</v>
      </c>
      <c r="L91" s="1144">
        <f t="shared" si="3"/>
        <v>0</v>
      </c>
      <c r="M91" s="1144">
        <f t="shared" si="4"/>
        <v>0</v>
      </c>
      <c r="N91" s="1145">
        <f t="shared" si="5"/>
        <v>70</v>
      </c>
      <c r="O91" s="1144">
        <f t="shared" si="6"/>
        <v>70</v>
      </c>
      <c r="S91" s="1137"/>
      <c r="U91" s="1138"/>
      <c r="W91" s="1137"/>
      <c r="Z91" s="1138"/>
      <c r="AA91" s="1143"/>
      <c r="AB91" s="1137"/>
      <c r="AG91" s="1138"/>
      <c r="AH91" s="1137"/>
      <c r="AI91" s="1138"/>
      <c r="AN91" s="1137"/>
      <c r="AP91" s="1138"/>
      <c r="AQ91" s="1137"/>
      <c r="BI91" s="1137"/>
      <c r="BK91" s="1137"/>
      <c r="BN91" s="1138"/>
      <c r="BO91" s="1137"/>
      <c r="BQ91" s="1138"/>
      <c r="BR91" s="1137"/>
      <c r="BS91" s="1139"/>
      <c r="BT91" s="1140"/>
      <c r="BW91" s="1138"/>
      <c r="BY91" s="1141"/>
      <c r="BZ91" s="1140"/>
    </row>
    <row r="92" spans="1:78" ht="18" customHeight="1">
      <c r="A92" s="1144">
        <f t="shared" si="7"/>
        <v>13</v>
      </c>
      <c r="B92" s="1146">
        <f t="shared" si="8"/>
        <v>4</v>
      </c>
      <c r="C92" s="1144">
        <f t="shared" si="9"/>
        <v>4</v>
      </c>
      <c r="D92" s="1144">
        <f t="shared" si="0"/>
        <v>240</v>
      </c>
      <c r="E92" s="1144">
        <f t="shared" si="10"/>
        <v>200</v>
      </c>
      <c r="F92" s="1145">
        <f t="shared" si="1"/>
        <v>200</v>
      </c>
      <c r="G92" s="1144">
        <f t="shared" si="11"/>
        <v>60</v>
      </c>
      <c r="H92" s="1144">
        <f t="shared" si="12"/>
        <v>1</v>
      </c>
      <c r="I92" s="1144">
        <f t="shared" si="13"/>
        <v>2</v>
      </c>
      <c r="J92" s="1146">
        <f t="shared" si="14"/>
        <v>4</v>
      </c>
      <c r="K92" s="1144">
        <f t="shared" si="2"/>
        <v>10</v>
      </c>
      <c r="L92" s="1144">
        <f t="shared" si="3"/>
        <v>0</v>
      </c>
      <c r="M92" s="1144">
        <f t="shared" si="4"/>
        <v>0</v>
      </c>
      <c r="N92" s="1145">
        <f t="shared" si="5"/>
        <v>70</v>
      </c>
      <c r="O92" s="1144">
        <f t="shared" si="6"/>
        <v>70</v>
      </c>
      <c r="S92" s="1137"/>
      <c r="U92" s="1138"/>
      <c r="W92" s="1137"/>
      <c r="Z92" s="1138"/>
      <c r="AA92" s="1143"/>
      <c r="AB92" s="1137"/>
      <c r="AG92" s="1138"/>
      <c r="AH92" s="1137"/>
      <c r="AI92" s="1138"/>
      <c r="AN92" s="1137"/>
      <c r="AP92" s="1138"/>
      <c r="AQ92" s="1137"/>
      <c r="BI92" s="1137"/>
      <c r="BK92" s="1137"/>
      <c r="BN92" s="1138"/>
      <c r="BO92" s="1137"/>
      <c r="BQ92" s="1138"/>
      <c r="BR92" s="1137"/>
      <c r="BS92" s="1139"/>
      <c r="BT92" s="1140"/>
      <c r="BW92" s="1138"/>
      <c r="BY92" s="1141"/>
      <c r="BZ92" s="1140"/>
    </row>
    <row r="93" spans="1:78" ht="18" customHeight="1">
      <c r="A93" s="1144">
        <f t="shared" si="7"/>
        <v>14</v>
      </c>
      <c r="B93" s="1146">
        <f t="shared" si="8"/>
        <v>4</v>
      </c>
      <c r="C93" s="1144">
        <f t="shared" si="9"/>
        <v>0</v>
      </c>
      <c r="D93" s="1144">
        <f t="shared" si="0"/>
        <v>240</v>
      </c>
      <c r="E93" s="1144">
        <f t="shared" si="10"/>
        <v>0</v>
      </c>
      <c r="F93" s="1145">
        <f t="shared" si="1"/>
        <v>0</v>
      </c>
      <c r="G93" s="1144">
        <f t="shared" si="11"/>
        <v>0</v>
      </c>
      <c r="H93" s="1144">
        <f t="shared" si="12"/>
        <v>0</v>
      </c>
      <c r="I93" s="1144">
        <f t="shared" si="13"/>
        <v>0</v>
      </c>
      <c r="J93" s="1146">
        <f t="shared" si="14"/>
        <v>0</v>
      </c>
      <c r="K93" s="1144">
        <f t="shared" si="2"/>
        <v>0</v>
      </c>
      <c r="L93" s="1144">
        <f t="shared" si="3"/>
        <v>0</v>
      </c>
      <c r="M93" s="1144">
        <f t="shared" si="4"/>
        <v>0</v>
      </c>
      <c r="N93" s="1145">
        <f t="shared" si="5"/>
        <v>0</v>
      </c>
      <c r="O93" s="1144">
        <f t="shared" si="6"/>
        <v>0</v>
      </c>
      <c r="S93" s="1137"/>
      <c r="U93" s="1138"/>
      <c r="W93" s="1137"/>
      <c r="Z93" s="1138"/>
      <c r="AA93" s="1143"/>
      <c r="AB93" s="1137"/>
      <c r="AG93" s="1138"/>
      <c r="AH93" s="1137"/>
      <c r="AI93" s="1138"/>
      <c r="AN93" s="1137"/>
      <c r="AP93" s="1138"/>
      <c r="AQ93" s="1137"/>
      <c r="BI93" s="1137"/>
      <c r="BK93" s="1137"/>
      <c r="BN93" s="1138"/>
      <c r="BO93" s="1137"/>
      <c r="BQ93" s="1138"/>
      <c r="BR93" s="1137"/>
      <c r="BS93" s="1139"/>
      <c r="BT93" s="1140"/>
      <c r="BW93" s="1138"/>
      <c r="BY93" s="1141"/>
      <c r="BZ93" s="1140"/>
    </row>
    <row r="94" spans="1:78" ht="18" customHeight="1">
      <c r="A94" s="1144">
        <f t="shared" si="7"/>
        <v>15</v>
      </c>
      <c r="B94" s="1146">
        <f t="shared" si="8"/>
        <v>4</v>
      </c>
      <c r="C94" s="1144">
        <f t="shared" si="9"/>
        <v>0</v>
      </c>
      <c r="D94" s="1144">
        <f t="shared" si="0"/>
        <v>240</v>
      </c>
      <c r="E94" s="1144">
        <f t="shared" si="10"/>
        <v>0</v>
      </c>
      <c r="F94" s="1145">
        <f t="shared" si="1"/>
        <v>0</v>
      </c>
      <c r="G94" s="1144">
        <f t="shared" si="11"/>
        <v>0</v>
      </c>
      <c r="H94" s="1144">
        <f t="shared" si="12"/>
        <v>0</v>
      </c>
      <c r="I94" s="1144">
        <f t="shared" si="13"/>
        <v>0</v>
      </c>
      <c r="J94" s="1146">
        <f t="shared" si="14"/>
        <v>0</v>
      </c>
      <c r="K94" s="1144">
        <f t="shared" si="2"/>
        <v>0</v>
      </c>
      <c r="L94" s="1144">
        <f t="shared" si="3"/>
        <v>0</v>
      </c>
      <c r="M94" s="1144">
        <f t="shared" si="4"/>
        <v>0</v>
      </c>
      <c r="N94" s="1145">
        <f t="shared" si="5"/>
        <v>0</v>
      </c>
      <c r="O94" s="1144">
        <f t="shared" si="6"/>
        <v>0</v>
      </c>
      <c r="S94" s="1137"/>
      <c r="U94" s="1138"/>
      <c r="W94" s="1137"/>
      <c r="Z94" s="1138"/>
      <c r="AA94" s="1143"/>
      <c r="AB94" s="1137"/>
      <c r="AG94" s="1138"/>
      <c r="AH94" s="1137"/>
      <c r="AI94" s="1138"/>
      <c r="AN94" s="1137"/>
      <c r="AP94" s="1138"/>
      <c r="AQ94" s="1137"/>
      <c r="BI94" s="1137"/>
      <c r="BK94" s="1137"/>
      <c r="BN94" s="1138"/>
      <c r="BO94" s="1137"/>
      <c r="BQ94" s="1138"/>
      <c r="BR94" s="1137"/>
      <c r="BS94" s="1139"/>
      <c r="BT94" s="1140"/>
      <c r="BW94" s="1138"/>
      <c r="BY94" s="1141"/>
      <c r="BZ94" s="1140"/>
    </row>
    <row r="95" spans="1:78" ht="18" customHeight="1">
      <c r="A95" s="1144">
        <f t="shared" si="7"/>
        <v>16</v>
      </c>
      <c r="B95" s="1146">
        <f t="shared" si="8"/>
        <v>4</v>
      </c>
      <c r="C95" s="1144">
        <f t="shared" si="9"/>
        <v>0</v>
      </c>
      <c r="D95" s="1144">
        <f t="shared" si="0"/>
        <v>240</v>
      </c>
      <c r="E95" s="1144">
        <f t="shared" si="10"/>
        <v>0</v>
      </c>
      <c r="F95" s="1145">
        <f t="shared" si="1"/>
        <v>0</v>
      </c>
      <c r="G95" s="1144">
        <f t="shared" si="11"/>
        <v>0</v>
      </c>
      <c r="H95" s="1144">
        <f t="shared" si="12"/>
        <v>0</v>
      </c>
      <c r="I95" s="1144">
        <f t="shared" si="13"/>
        <v>0</v>
      </c>
      <c r="J95" s="1146">
        <f t="shared" si="14"/>
        <v>0</v>
      </c>
      <c r="K95" s="1144">
        <f t="shared" si="2"/>
        <v>0</v>
      </c>
      <c r="L95" s="1144">
        <f t="shared" si="3"/>
        <v>0</v>
      </c>
      <c r="M95" s="1144">
        <f t="shared" si="4"/>
        <v>0</v>
      </c>
      <c r="N95" s="1145">
        <f t="shared" si="5"/>
        <v>0</v>
      </c>
      <c r="O95" s="1144">
        <f t="shared" si="6"/>
        <v>0</v>
      </c>
      <c r="S95" s="1137"/>
      <c r="U95" s="1138"/>
      <c r="W95" s="1137"/>
      <c r="Z95" s="1138"/>
      <c r="AA95" s="1143"/>
      <c r="AB95" s="1137"/>
      <c r="AG95" s="1138"/>
      <c r="AH95" s="1137"/>
      <c r="AI95" s="1138"/>
      <c r="AN95" s="1137"/>
      <c r="AP95" s="1138"/>
      <c r="AQ95" s="1137"/>
      <c r="BI95" s="1137"/>
      <c r="BK95" s="1137"/>
      <c r="BN95" s="1138"/>
      <c r="BO95" s="1137"/>
      <c r="BQ95" s="1138"/>
      <c r="BR95" s="1137"/>
      <c r="BS95" s="1139"/>
      <c r="BT95" s="1140"/>
      <c r="BW95" s="1138"/>
      <c r="BY95" s="1141"/>
      <c r="BZ95" s="1140"/>
    </row>
    <row r="96" spans="1:78" ht="18">
      <c r="A96" s="1144">
        <f>A15</f>
        <v>17</v>
      </c>
      <c r="B96" s="1146">
        <f t="shared" si="8"/>
        <v>4</v>
      </c>
      <c r="C96" s="1144">
        <f t="shared" si="9"/>
        <v>0</v>
      </c>
      <c r="D96" s="1144">
        <f t="shared" si="0"/>
        <v>240</v>
      </c>
      <c r="E96" s="1144">
        <f t="shared" si="10"/>
        <v>0</v>
      </c>
      <c r="F96" s="1145">
        <f t="shared" si="1"/>
        <v>0</v>
      </c>
      <c r="G96" s="1144">
        <f t="shared" si="11"/>
        <v>0</v>
      </c>
      <c r="H96" s="1144">
        <f t="shared" si="12"/>
        <v>0</v>
      </c>
      <c r="I96" s="1144">
        <f t="shared" si="13"/>
        <v>0</v>
      </c>
      <c r="J96" s="1146">
        <f t="shared" si="14"/>
        <v>0</v>
      </c>
      <c r="K96" s="1144">
        <f t="shared" si="2"/>
        <v>0</v>
      </c>
      <c r="L96" s="1144">
        <f t="shared" si="3"/>
        <v>0</v>
      </c>
      <c r="M96" s="1144">
        <f t="shared" si="4"/>
        <v>0</v>
      </c>
      <c r="N96" s="1145">
        <f t="shared" si="5"/>
        <v>0</v>
      </c>
      <c r="O96" s="1144">
        <f t="shared" si="6"/>
        <v>0</v>
      </c>
      <c r="S96" s="1137"/>
      <c r="U96" s="1138"/>
      <c r="W96" s="1137"/>
      <c r="Z96" s="1138"/>
      <c r="AA96" s="1143"/>
      <c r="AB96" s="1137"/>
      <c r="AG96" s="1138"/>
      <c r="AH96" s="1137"/>
      <c r="AI96" s="1138"/>
      <c r="AN96" s="1137"/>
      <c r="AP96" s="1138"/>
      <c r="AQ96" s="1137"/>
      <c r="BE96" s="1138"/>
      <c r="BI96" s="1137"/>
      <c r="BJ96" s="1138"/>
      <c r="BK96" s="1137"/>
      <c r="BN96" s="1138"/>
      <c r="BO96" s="1137"/>
      <c r="BQ96" s="1138"/>
      <c r="BR96" s="1137"/>
      <c r="BS96" s="1139"/>
      <c r="BT96" s="1140"/>
      <c r="BW96" s="1138"/>
      <c r="BY96" s="1141"/>
      <c r="BZ96" s="1140"/>
    </row>
    <row r="97" spans="1:79" ht="18">
      <c r="A97" s="1144">
        <f t="shared" si="7"/>
        <v>18</v>
      </c>
      <c r="B97" s="1146">
        <f t="shared" si="8"/>
        <v>4</v>
      </c>
      <c r="C97" s="1144">
        <f t="shared" si="9"/>
        <v>0</v>
      </c>
      <c r="D97" s="1144">
        <f t="shared" si="0"/>
        <v>240</v>
      </c>
      <c r="E97" s="1144">
        <f t="shared" si="10"/>
        <v>0</v>
      </c>
      <c r="F97" s="1145">
        <f t="shared" si="1"/>
        <v>0</v>
      </c>
      <c r="G97" s="1144">
        <f t="shared" si="11"/>
        <v>0</v>
      </c>
      <c r="H97" s="1144">
        <f t="shared" si="12"/>
        <v>0</v>
      </c>
      <c r="I97" s="1144">
        <f t="shared" si="13"/>
        <v>0</v>
      </c>
      <c r="J97" s="1146">
        <f t="shared" si="14"/>
        <v>0</v>
      </c>
      <c r="K97" s="1144">
        <f t="shared" si="2"/>
        <v>0</v>
      </c>
      <c r="L97" s="1144">
        <f t="shared" si="3"/>
        <v>0</v>
      </c>
      <c r="M97" s="1144">
        <f t="shared" si="4"/>
        <v>0</v>
      </c>
      <c r="N97" s="1145">
        <f t="shared" si="5"/>
        <v>0</v>
      </c>
      <c r="O97" s="1144">
        <f t="shared" si="6"/>
        <v>0</v>
      </c>
      <c r="S97" s="1137"/>
      <c r="U97" s="1138"/>
      <c r="W97" s="1137"/>
      <c r="Z97" s="1138"/>
      <c r="AA97" s="1138"/>
      <c r="AB97" s="1143"/>
      <c r="AC97" s="1137"/>
      <c r="AG97" s="1138"/>
      <c r="AJ97" s="1138"/>
      <c r="AN97" s="1137"/>
      <c r="AO97" s="1137"/>
      <c r="AP97" s="1138"/>
      <c r="AR97" s="1137"/>
      <c r="BE97" s="1138"/>
      <c r="BF97" s="1138"/>
      <c r="BI97" s="1137"/>
      <c r="BL97" s="1137"/>
      <c r="BN97" s="1138"/>
      <c r="BP97" s="1137"/>
      <c r="BQ97" s="1138"/>
      <c r="BR97" s="1138"/>
      <c r="BS97" s="1137"/>
      <c r="BT97" s="1139"/>
      <c r="BU97" s="1140"/>
      <c r="BW97" s="1138"/>
      <c r="BX97" s="1138"/>
      <c r="BY97" s="1141"/>
      <c r="BZ97" s="1141"/>
      <c r="CA97" s="1140"/>
    </row>
    <row r="98" spans="1:79" ht="18">
      <c r="A98" s="1144">
        <f t="shared" si="7"/>
        <v>19</v>
      </c>
      <c r="B98" s="1146">
        <f t="shared" si="8"/>
        <v>4</v>
      </c>
      <c r="C98" s="1144">
        <f t="shared" si="9"/>
        <v>0</v>
      </c>
      <c r="D98" s="1144">
        <f t="shared" si="0"/>
        <v>240</v>
      </c>
      <c r="E98" s="1144">
        <f t="shared" si="10"/>
        <v>0</v>
      </c>
      <c r="F98" s="1145">
        <f t="shared" si="1"/>
        <v>0</v>
      </c>
      <c r="G98" s="1144">
        <f t="shared" si="11"/>
        <v>0</v>
      </c>
      <c r="H98" s="1144">
        <f t="shared" si="12"/>
        <v>0</v>
      </c>
      <c r="I98" s="1144">
        <f t="shared" si="13"/>
        <v>0</v>
      </c>
      <c r="J98" s="1146">
        <f t="shared" si="14"/>
        <v>0</v>
      </c>
      <c r="K98" s="1144">
        <f t="shared" si="2"/>
        <v>0</v>
      </c>
      <c r="L98" s="1144">
        <f t="shared" si="3"/>
        <v>0</v>
      </c>
      <c r="M98" s="1144">
        <f t="shared" si="4"/>
        <v>0</v>
      </c>
      <c r="N98" s="1145">
        <f t="shared" si="5"/>
        <v>0</v>
      </c>
      <c r="O98" s="1144">
        <f t="shared" si="6"/>
        <v>0</v>
      </c>
      <c r="S98" s="1137"/>
      <c r="U98" s="1138"/>
      <c r="W98" s="1137"/>
      <c r="Z98" s="1138"/>
      <c r="AA98" s="1138"/>
      <c r="AB98" s="1143"/>
      <c r="AC98" s="1137"/>
      <c r="AG98" s="1138"/>
      <c r="AJ98" s="1138"/>
      <c r="AN98" s="1137"/>
      <c r="AO98" s="1137"/>
      <c r="AP98" s="1138"/>
      <c r="AR98" s="1137"/>
      <c r="BE98" s="1138"/>
      <c r="BF98" s="1138"/>
      <c r="BI98" s="1137"/>
      <c r="BL98" s="1137"/>
      <c r="BN98" s="1138"/>
      <c r="BP98" s="1137"/>
      <c r="BQ98" s="1138"/>
      <c r="BR98" s="1138"/>
      <c r="BS98" s="1137"/>
      <c r="BT98" s="1139"/>
      <c r="BU98" s="1140"/>
      <c r="BW98" s="1138"/>
      <c r="BX98" s="1138"/>
      <c r="BY98" s="1141"/>
      <c r="BZ98" s="1141"/>
      <c r="CA98" s="1140"/>
    </row>
    <row r="99" spans="1:79" ht="18">
      <c r="A99" s="1144">
        <f t="shared" si="7"/>
        <v>20</v>
      </c>
      <c r="B99" s="1146">
        <f t="shared" si="8"/>
        <v>4</v>
      </c>
      <c r="C99" s="1144">
        <f t="shared" si="9"/>
        <v>0</v>
      </c>
      <c r="D99" s="1144">
        <f t="shared" si="0"/>
        <v>240</v>
      </c>
      <c r="E99" s="1144">
        <f t="shared" si="10"/>
        <v>0</v>
      </c>
      <c r="F99" s="1145">
        <f t="shared" si="1"/>
        <v>0</v>
      </c>
      <c r="G99" s="1144">
        <f t="shared" si="11"/>
        <v>0</v>
      </c>
      <c r="H99" s="1144">
        <f t="shared" si="12"/>
        <v>0</v>
      </c>
      <c r="I99" s="1144">
        <f t="shared" si="13"/>
        <v>0</v>
      </c>
      <c r="J99" s="1146">
        <f t="shared" si="14"/>
        <v>0</v>
      </c>
      <c r="K99" s="1144">
        <f t="shared" si="2"/>
        <v>0</v>
      </c>
      <c r="L99" s="1144">
        <f t="shared" si="3"/>
        <v>0</v>
      </c>
      <c r="M99" s="1144">
        <f t="shared" si="4"/>
        <v>0</v>
      </c>
      <c r="N99" s="1145">
        <f t="shared" si="5"/>
        <v>0</v>
      </c>
      <c r="O99" s="1144">
        <f t="shared" si="6"/>
        <v>0</v>
      </c>
      <c r="S99" s="1137"/>
      <c r="U99" s="1138"/>
      <c r="W99" s="1137"/>
      <c r="Z99" s="1138"/>
      <c r="AA99" s="1138"/>
      <c r="AB99" s="1143"/>
      <c r="AC99" s="1137"/>
      <c r="AG99" s="1138"/>
      <c r="AJ99" s="1138"/>
      <c r="AN99" s="1137"/>
      <c r="AO99" s="1137"/>
      <c r="AP99" s="1138"/>
      <c r="AR99" s="1137"/>
      <c r="BE99" s="1138"/>
      <c r="BF99" s="1138"/>
      <c r="BI99" s="1137"/>
      <c r="BL99" s="1137"/>
      <c r="BN99" s="1138"/>
      <c r="BP99" s="1137"/>
      <c r="BQ99" s="1138"/>
      <c r="BR99" s="1138"/>
      <c r="BS99" s="1137"/>
      <c r="BT99" s="1139"/>
      <c r="BU99" s="1140"/>
      <c r="BW99" s="1138"/>
      <c r="BX99" s="1138"/>
      <c r="BY99" s="1141"/>
      <c r="BZ99" s="1141"/>
      <c r="CA99" s="1140"/>
    </row>
    <row r="100" spans="1:79" ht="18">
      <c r="A100" s="1144">
        <f t="shared" si="7"/>
        <v>21</v>
      </c>
      <c r="B100" s="1146">
        <f t="shared" si="8"/>
        <v>4</v>
      </c>
      <c r="C100" s="1144">
        <f t="shared" si="9"/>
        <v>0</v>
      </c>
      <c r="D100" s="1144">
        <f t="shared" si="0"/>
        <v>240</v>
      </c>
      <c r="E100" s="1144">
        <f t="shared" si="10"/>
        <v>0</v>
      </c>
      <c r="F100" s="1145">
        <f t="shared" si="1"/>
        <v>0</v>
      </c>
      <c r="G100" s="1144">
        <f t="shared" si="11"/>
        <v>0</v>
      </c>
      <c r="H100" s="1144">
        <f t="shared" si="12"/>
        <v>0</v>
      </c>
      <c r="I100" s="1144">
        <f t="shared" si="13"/>
        <v>0</v>
      </c>
      <c r="J100" s="1146">
        <f t="shared" si="14"/>
        <v>0</v>
      </c>
      <c r="K100" s="1144">
        <f t="shared" si="2"/>
        <v>0</v>
      </c>
      <c r="L100" s="1144">
        <f t="shared" si="3"/>
        <v>0</v>
      </c>
      <c r="M100" s="1144">
        <f t="shared" si="4"/>
        <v>0</v>
      </c>
      <c r="N100" s="1145">
        <f t="shared" si="5"/>
        <v>0</v>
      </c>
      <c r="O100" s="1144">
        <f t="shared" si="6"/>
        <v>0</v>
      </c>
      <c r="S100" s="1137"/>
      <c r="U100" s="1138"/>
      <c r="W100" s="1137"/>
      <c r="Z100" s="1138"/>
      <c r="AA100" s="1138"/>
      <c r="AB100" s="1143"/>
      <c r="AC100" s="1137"/>
      <c r="AG100" s="1138"/>
      <c r="AJ100" s="1138"/>
      <c r="AN100" s="1137"/>
      <c r="AO100" s="1137"/>
      <c r="AP100" s="1138"/>
      <c r="AR100" s="1137"/>
      <c r="BE100" s="1138"/>
      <c r="BF100" s="1138"/>
      <c r="BI100" s="1137"/>
      <c r="BL100" s="1137"/>
      <c r="BN100" s="1138"/>
      <c r="BP100" s="1137"/>
      <c r="BQ100" s="1138"/>
      <c r="BR100" s="1138"/>
      <c r="BS100" s="1137"/>
      <c r="BT100" s="1139"/>
      <c r="BU100" s="1140"/>
      <c r="BW100" s="1138"/>
      <c r="BX100" s="1138"/>
      <c r="BY100" s="1141"/>
      <c r="BZ100" s="1141"/>
      <c r="CA100" s="1140"/>
    </row>
    <row r="101" spans="1:79" ht="18">
      <c r="A101" s="1144">
        <f t="shared" si="7"/>
        <v>22</v>
      </c>
      <c r="B101" s="1146">
        <f t="shared" si="8"/>
        <v>4</v>
      </c>
      <c r="C101" s="1144">
        <f t="shared" si="9"/>
        <v>0</v>
      </c>
      <c r="D101" s="1144">
        <f t="shared" si="0"/>
        <v>240</v>
      </c>
      <c r="E101" s="1144">
        <f t="shared" si="10"/>
        <v>0</v>
      </c>
      <c r="F101" s="1145">
        <f t="shared" si="1"/>
        <v>0</v>
      </c>
      <c r="G101" s="1144">
        <f t="shared" si="11"/>
        <v>0</v>
      </c>
      <c r="H101" s="1144">
        <f t="shared" si="12"/>
        <v>0</v>
      </c>
      <c r="I101" s="1144">
        <f t="shared" si="13"/>
        <v>0</v>
      </c>
      <c r="J101" s="1146">
        <f t="shared" si="14"/>
        <v>0</v>
      </c>
      <c r="K101" s="1144">
        <f t="shared" si="2"/>
        <v>0</v>
      </c>
      <c r="L101" s="1144">
        <f t="shared" si="3"/>
        <v>0</v>
      </c>
      <c r="M101" s="1144">
        <f t="shared" si="4"/>
        <v>0</v>
      </c>
      <c r="N101" s="1145">
        <f t="shared" si="5"/>
        <v>0</v>
      </c>
      <c r="O101" s="1144">
        <f t="shared" si="6"/>
        <v>0</v>
      </c>
      <c r="S101" s="1137"/>
      <c r="U101" s="1138"/>
      <c r="W101" s="1137"/>
      <c r="Z101" s="1138"/>
      <c r="AA101" s="1138"/>
      <c r="AB101" s="1143"/>
      <c r="AC101" s="1137"/>
      <c r="AG101" s="1138"/>
      <c r="AJ101" s="1138"/>
      <c r="AN101" s="1137"/>
      <c r="AO101" s="1137"/>
      <c r="AP101" s="1138"/>
      <c r="AR101" s="1137"/>
      <c r="BE101" s="1138"/>
      <c r="BF101" s="1138"/>
      <c r="BI101" s="1137"/>
      <c r="BL101" s="1137"/>
      <c r="BN101" s="1138"/>
      <c r="BP101" s="1137"/>
      <c r="BQ101" s="1138"/>
      <c r="BR101" s="1138"/>
      <c r="BS101" s="1137"/>
      <c r="BT101" s="1139"/>
      <c r="BU101" s="1140"/>
      <c r="BW101" s="1138"/>
      <c r="BX101" s="1138"/>
      <c r="BY101" s="1141"/>
      <c r="BZ101" s="1141"/>
      <c r="CA101" s="1140"/>
    </row>
    <row r="102" spans="1:79" ht="18">
      <c r="A102" s="1144">
        <f t="shared" si="7"/>
        <v>23</v>
      </c>
      <c r="B102" s="1146">
        <f t="shared" si="8"/>
        <v>4</v>
      </c>
      <c r="C102" s="1144">
        <f t="shared" si="9"/>
        <v>0</v>
      </c>
      <c r="D102" s="1144">
        <f t="shared" si="0"/>
        <v>240</v>
      </c>
      <c r="E102" s="1144">
        <f t="shared" si="10"/>
        <v>0</v>
      </c>
      <c r="F102" s="1145">
        <f t="shared" si="1"/>
        <v>0</v>
      </c>
      <c r="G102" s="1144">
        <f t="shared" si="11"/>
        <v>0</v>
      </c>
      <c r="H102" s="1144">
        <f t="shared" si="12"/>
        <v>0</v>
      </c>
      <c r="I102" s="1144">
        <f t="shared" si="13"/>
        <v>0</v>
      </c>
      <c r="J102" s="1146">
        <f t="shared" si="14"/>
        <v>0</v>
      </c>
      <c r="K102" s="1144">
        <f t="shared" si="2"/>
        <v>0</v>
      </c>
      <c r="L102" s="1144">
        <f t="shared" si="3"/>
        <v>0</v>
      </c>
      <c r="M102" s="1144">
        <f t="shared" si="4"/>
        <v>0</v>
      </c>
      <c r="N102" s="1145">
        <f t="shared" si="5"/>
        <v>0</v>
      </c>
      <c r="O102" s="1144">
        <f t="shared" si="6"/>
        <v>0</v>
      </c>
      <c r="S102" s="1137"/>
      <c r="U102" s="1138"/>
      <c r="W102" s="1137"/>
      <c r="Z102" s="1138"/>
      <c r="AA102" s="1138"/>
      <c r="AB102" s="1143"/>
      <c r="AC102" s="1137"/>
      <c r="AG102" s="1138"/>
      <c r="AJ102" s="1138"/>
      <c r="AN102" s="1137"/>
      <c r="AO102" s="1137"/>
      <c r="AP102" s="1138"/>
      <c r="AR102" s="1137"/>
      <c r="BE102" s="1138"/>
      <c r="BF102" s="1138"/>
      <c r="BI102" s="1137"/>
      <c r="BL102" s="1137"/>
      <c r="BN102" s="1138"/>
      <c r="BP102" s="1137"/>
      <c r="BQ102" s="1138"/>
      <c r="BR102" s="1138"/>
      <c r="BS102" s="1137"/>
      <c r="BT102" s="1139"/>
      <c r="BU102" s="1140"/>
      <c r="BW102" s="1138"/>
      <c r="BX102" s="1138"/>
      <c r="BY102" s="1141"/>
      <c r="BZ102" s="1141"/>
      <c r="CA102" s="1140"/>
    </row>
    <row r="103" spans="1:79" ht="18">
      <c r="A103" s="1144">
        <f>A22</f>
        <v>24</v>
      </c>
      <c r="B103" s="1146">
        <f t="shared" si="8"/>
        <v>4</v>
      </c>
      <c r="C103" s="1144">
        <f t="shared" si="9"/>
        <v>0</v>
      </c>
      <c r="D103" s="1144">
        <f t="shared" si="0"/>
        <v>240</v>
      </c>
      <c r="E103" s="1144">
        <f t="shared" si="10"/>
        <v>0</v>
      </c>
      <c r="F103" s="1145">
        <f t="shared" si="1"/>
        <v>0</v>
      </c>
      <c r="G103" s="1144">
        <f t="shared" si="11"/>
        <v>0</v>
      </c>
      <c r="H103" s="1144">
        <f t="shared" si="12"/>
        <v>0</v>
      </c>
      <c r="I103" s="1144">
        <f t="shared" si="13"/>
        <v>0</v>
      </c>
      <c r="J103" s="1146">
        <f t="shared" si="14"/>
        <v>0</v>
      </c>
      <c r="K103" s="1144">
        <f t="shared" si="2"/>
        <v>0</v>
      </c>
      <c r="L103" s="1144">
        <f t="shared" si="3"/>
        <v>0</v>
      </c>
      <c r="M103" s="1144">
        <f t="shared" si="4"/>
        <v>0</v>
      </c>
      <c r="N103" s="1145">
        <f t="shared" si="5"/>
        <v>0</v>
      </c>
      <c r="O103" s="1144">
        <f t="shared" si="6"/>
        <v>0</v>
      </c>
      <c r="S103" s="1137"/>
      <c r="U103" s="1138"/>
      <c r="W103" s="1137"/>
      <c r="Z103" s="1138"/>
      <c r="AA103" s="1138"/>
      <c r="AB103" s="1143"/>
      <c r="AC103" s="1137"/>
      <c r="AG103" s="1138"/>
      <c r="AJ103" s="1138"/>
      <c r="AN103" s="1137"/>
      <c r="AO103" s="1137"/>
      <c r="AP103" s="1138"/>
      <c r="AR103" s="1137"/>
      <c r="BE103" s="1138"/>
      <c r="BF103" s="1138"/>
      <c r="BI103" s="1137"/>
      <c r="BL103" s="1137"/>
      <c r="BN103" s="1138"/>
      <c r="BP103" s="1137"/>
      <c r="BQ103" s="1138"/>
      <c r="BR103" s="1138"/>
      <c r="BS103" s="1137"/>
      <c r="BT103" s="1139"/>
      <c r="BU103" s="1140"/>
      <c r="BW103" s="1138"/>
      <c r="BX103" s="1138"/>
      <c r="BY103" s="1141"/>
      <c r="BZ103" s="1141"/>
      <c r="CA103" s="1140"/>
    </row>
    <row r="104" spans="1:79" ht="18">
      <c r="A104" s="1144">
        <f t="shared" si="7"/>
        <v>25</v>
      </c>
      <c r="B104" s="1146">
        <f t="shared" si="8"/>
        <v>4</v>
      </c>
      <c r="C104" s="1144">
        <f t="shared" si="9"/>
        <v>0</v>
      </c>
      <c r="D104" s="1144">
        <f t="shared" si="0"/>
        <v>240</v>
      </c>
      <c r="E104" s="1144">
        <f t="shared" si="10"/>
        <v>0</v>
      </c>
      <c r="F104" s="1145">
        <f t="shared" si="1"/>
        <v>0</v>
      </c>
      <c r="G104" s="1144">
        <f t="shared" si="11"/>
        <v>0</v>
      </c>
      <c r="H104" s="1144">
        <f t="shared" si="12"/>
        <v>0</v>
      </c>
      <c r="I104" s="1144">
        <f t="shared" si="13"/>
        <v>0</v>
      </c>
      <c r="J104" s="1146">
        <f t="shared" si="14"/>
        <v>0</v>
      </c>
      <c r="K104" s="1144">
        <f t="shared" si="2"/>
        <v>0</v>
      </c>
      <c r="L104" s="1144">
        <f t="shared" si="3"/>
        <v>0</v>
      </c>
      <c r="M104" s="1144">
        <f t="shared" si="4"/>
        <v>0</v>
      </c>
      <c r="N104" s="1145">
        <f t="shared" si="5"/>
        <v>0</v>
      </c>
      <c r="O104" s="1144">
        <f t="shared" si="6"/>
        <v>0</v>
      </c>
      <c r="S104" s="1137"/>
      <c r="U104" s="1138"/>
      <c r="W104" s="1137"/>
      <c r="Z104" s="1138"/>
      <c r="AA104" s="1138"/>
      <c r="AB104" s="1143"/>
      <c r="AC104" s="1137"/>
      <c r="AG104" s="1138"/>
      <c r="AJ104" s="1138"/>
      <c r="AN104" s="1137"/>
      <c r="AO104" s="1137"/>
      <c r="AP104" s="1138"/>
      <c r="AR104" s="1137"/>
      <c r="BE104" s="1138"/>
      <c r="BF104" s="1138"/>
      <c r="BI104" s="1137"/>
      <c r="BL104" s="1137"/>
      <c r="BN104" s="1138"/>
      <c r="BP104" s="1137"/>
      <c r="BQ104" s="1138"/>
      <c r="BR104" s="1138"/>
      <c r="BS104" s="1137"/>
      <c r="BT104" s="1139"/>
      <c r="BU104" s="1140"/>
      <c r="BW104" s="1138"/>
      <c r="BX104" s="1138"/>
      <c r="BY104" s="1141"/>
      <c r="BZ104" s="1141"/>
      <c r="CA104" s="1140"/>
    </row>
    <row r="105" spans="1:79" ht="18">
      <c r="A105" s="1144">
        <f t="shared" si="7"/>
        <v>26</v>
      </c>
      <c r="B105" s="1146">
        <f t="shared" si="8"/>
        <v>4</v>
      </c>
      <c r="C105" s="1144">
        <f t="shared" si="9"/>
        <v>0</v>
      </c>
      <c r="D105" s="1144">
        <f t="shared" si="0"/>
        <v>240</v>
      </c>
      <c r="E105" s="1144">
        <f t="shared" si="10"/>
        <v>0</v>
      </c>
      <c r="F105" s="1145">
        <f t="shared" si="1"/>
        <v>0</v>
      </c>
      <c r="G105" s="1144">
        <f t="shared" si="11"/>
        <v>0</v>
      </c>
      <c r="H105" s="1144">
        <f t="shared" si="12"/>
        <v>0</v>
      </c>
      <c r="I105" s="1144">
        <f t="shared" si="13"/>
        <v>0</v>
      </c>
      <c r="J105" s="1146">
        <f t="shared" si="14"/>
        <v>0</v>
      </c>
      <c r="K105" s="1144">
        <f t="shared" si="2"/>
        <v>0</v>
      </c>
      <c r="L105" s="1144">
        <f t="shared" si="3"/>
        <v>0</v>
      </c>
      <c r="M105" s="1144">
        <f t="shared" si="4"/>
        <v>0</v>
      </c>
      <c r="N105" s="1145">
        <f t="shared" si="5"/>
        <v>0</v>
      </c>
      <c r="O105" s="1144">
        <f t="shared" si="6"/>
        <v>0</v>
      </c>
      <c r="S105" s="1137"/>
      <c r="U105" s="1138"/>
      <c r="W105" s="1137"/>
      <c r="Z105" s="1138"/>
      <c r="AA105" s="1138"/>
      <c r="AB105" s="1143"/>
      <c r="AC105" s="1137"/>
      <c r="AG105" s="1138"/>
      <c r="AJ105" s="1138"/>
      <c r="AN105" s="1137"/>
      <c r="AO105" s="1137"/>
      <c r="AP105" s="1138"/>
      <c r="AR105" s="1137"/>
      <c r="BE105" s="1138"/>
      <c r="BF105" s="1138"/>
      <c r="BI105" s="1137"/>
      <c r="BL105" s="1137"/>
      <c r="BN105" s="1138"/>
      <c r="BP105" s="1137"/>
      <c r="BQ105" s="1138"/>
      <c r="BR105" s="1138"/>
      <c r="BS105" s="1137"/>
      <c r="BT105" s="1139"/>
      <c r="BU105" s="1140"/>
      <c r="BW105" s="1138"/>
      <c r="BX105" s="1138"/>
      <c r="BY105" s="1141"/>
      <c r="BZ105" s="1141"/>
      <c r="CA105" s="1140"/>
    </row>
    <row r="106" spans="1:79" ht="18">
      <c r="A106" s="1144">
        <f t="shared" si="7"/>
        <v>27</v>
      </c>
      <c r="B106" s="1146">
        <f t="shared" si="8"/>
        <v>4</v>
      </c>
      <c r="C106" s="1144">
        <f t="shared" si="9"/>
        <v>0</v>
      </c>
      <c r="D106" s="1144">
        <f t="shared" si="0"/>
        <v>240</v>
      </c>
      <c r="E106" s="1144">
        <f t="shared" si="10"/>
        <v>0</v>
      </c>
      <c r="F106" s="1145">
        <f t="shared" si="1"/>
        <v>0</v>
      </c>
      <c r="G106" s="1144">
        <f t="shared" si="11"/>
        <v>0</v>
      </c>
      <c r="H106" s="1144">
        <f t="shared" si="12"/>
        <v>0</v>
      </c>
      <c r="I106" s="1144">
        <f t="shared" si="13"/>
        <v>0</v>
      </c>
      <c r="J106" s="1146">
        <f t="shared" si="14"/>
        <v>0</v>
      </c>
      <c r="K106" s="1144">
        <f t="shared" si="2"/>
        <v>0</v>
      </c>
      <c r="L106" s="1144">
        <f t="shared" si="3"/>
        <v>0</v>
      </c>
      <c r="M106" s="1144">
        <f t="shared" si="4"/>
        <v>0</v>
      </c>
      <c r="N106" s="1145">
        <f t="shared" si="5"/>
        <v>0</v>
      </c>
      <c r="O106" s="1144">
        <f t="shared" si="6"/>
        <v>0</v>
      </c>
      <c r="S106" s="1137"/>
      <c r="U106" s="1138"/>
      <c r="W106" s="1137"/>
      <c r="Z106" s="1138"/>
      <c r="AA106" s="1138"/>
      <c r="AB106" s="1143"/>
      <c r="AC106" s="1137"/>
      <c r="AG106" s="1138"/>
      <c r="AJ106" s="1138"/>
      <c r="AN106" s="1137"/>
      <c r="AO106" s="1137"/>
      <c r="AP106" s="1138"/>
      <c r="AR106" s="1137"/>
      <c r="BE106" s="1138"/>
      <c r="BF106" s="1138"/>
      <c r="BI106" s="1137"/>
      <c r="BL106" s="1137"/>
      <c r="BN106" s="1138"/>
      <c r="BP106" s="1137"/>
      <c r="BQ106" s="1138"/>
      <c r="BR106" s="1138"/>
      <c r="BS106" s="1137"/>
      <c r="BT106" s="1139"/>
      <c r="BU106" s="1140"/>
      <c r="BW106" s="1138"/>
      <c r="BX106" s="1138"/>
      <c r="BY106" s="1141"/>
      <c r="BZ106" s="1141"/>
      <c r="CA106" s="1140"/>
    </row>
    <row r="107" ht="18">
      <c r="A107" s="1137" t="s">
        <v>535</v>
      </c>
    </row>
    <row r="108" ht="18">
      <c r="A108" s="1137" t="s">
        <v>535</v>
      </c>
    </row>
    <row r="109" ht="18">
      <c r="A109" s="1137" t="s">
        <v>535</v>
      </c>
    </row>
  </sheetData>
  <sheetProtection/>
  <mergeCells count="28">
    <mergeCell ref="W70:Y70"/>
    <mergeCell ref="W71:Y71"/>
    <mergeCell ref="W72:Y73"/>
    <mergeCell ref="M70:O70"/>
    <mergeCell ref="M71:O71"/>
    <mergeCell ref="R70:T70"/>
    <mergeCell ref="R71:T71"/>
    <mergeCell ref="U72:V73"/>
    <mergeCell ref="C70:E70"/>
    <mergeCell ref="C71:E71"/>
    <mergeCell ref="H70:J70"/>
    <mergeCell ref="H71:J71"/>
    <mergeCell ref="N45:N46"/>
    <mergeCell ref="O45:O46"/>
    <mergeCell ref="S45:S46"/>
    <mergeCell ref="T45:T46"/>
    <mergeCell ref="D45:D46"/>
    <mergeCell ref="E45:E46"/>
    <mergeCell ref="I45:I46"/>
    <mergeCell ref="J45:J46"/>
    <mergeCell ref="K72:L73"/>
    <mergeCell ref="M72:O73"/>
    <mergeCell ref="P72:Q73"/>
    <mergeCell ref="R72:T73"/>
    <mergeCell ref="A72:B73"/>
    <mergeCell ref="C72:E73"/>
    <mergeCell ref="F72:G73"/>
    <mergeCell ref="H72:J73"/>
  </mergeCells>
  <printOptions/>
  <pageMargins left="1.141732283464567" right="0" top="0.7480314960629921" bottom="0.31496062992125984" header="0.5118110236220472" footer="0.4724409448818898"/>
  <pageSetup orientation="portrait" paperSize="9" scale="80"/>
  <headerFooter alignWithMargins="0">
    <oddHeader>&amp;L&amp;C&amp;R</oddHeader>
  </headerFooter>
</worksheet>
</file>

<file path=xl/worksheets/sheet3.xml><?xml version="1.0" encoding="utf-8"?>
<worksheet xmlns="http://schemas.openxmlformats.org/spreadsheetml/2006/main" xmlns:r="http://schemas.openxmlformats.org/officeDocument/2006/relationships">
  <sheetPr codeName="Sheet3"/>
  <dimension ref="A1:AR238"/>
  <sheetViews>
    <sheetView zoomScale="125" zoomScaleNormal="125" workbookViewId="0" topLeftCell="A115">
      <selection activeCell="C147" sqref="C147"/>
    </sheetView>
  </sheetViews>
  <sheetFormatPr defaultColWidth="10.59765625" defaultRowHeight="15"/>
  <cols>
    <col min="1" max="4" width="8.59765625" style="16" customWidth="1"/>
    <col min="5" max="5" width="1.59765625" style="16" customWidth="1"/>
    <col min="6" max="9" width="8.59765625" style="16" customWidth="1"/>
    <col min="10" max="10" width="1.59765625" style="16" customWidth="1"/>
    <col min="11" max="13" width="8.59765625" style="16" customWidth="1"/>
    <col min="14" max="14" width="2.59765625" style="562" customWidth="1"/>
    <col min="15" max="15" width="10.59765625" style="61" customWidth="1"/>
    <col min="16" max="17" width="10.59765625" style="159" customWidth="1"/>
    <col min="18" max="18" width="12.59765625" style="159" customWidth="1"/>
    <col min="19" max="19" width="5.59765625" style="159" customWidth="1"/>
    <col min="20" max="27" width="9.59765625" style="159" customWidth="1"/>
    <col min="28" max="29" width="9.59765625" style="798" customWidth="1"/>
    <col min="30" max="32" width="10.59765625" style="62" customWidth="1"/>
    <col min="33" max="16384" width="10.59765625" style="60" customWidth="1"/>
  </cols>
  <sheetData>
    <row r="1" spans="1:13" ht="18.75" customHeight="1">
      <c r="A1" s="561"/>
      <c r="B1" s="561"/>
      <c r="C1" s="561"/>
      <c r="D1" s="561"/>
      <c r="E1" s="561"/>
      <c r="F1" s="561"/>
      <c r="G1" s="561"/>
      <c r="H1" s="561"/>
      <c r="I1" s="561"/>
      <c r="J1" s="561"/>
      <c r="K1" s="561"/>
      <c r="L1" s="561"/>
      <c r="M1" s="561"/>
    </row>
    <row r="2" spans="1:32" ht="18.75" customHeight="1" thickBot="1">
      <c r="A2" s="563" t="s">
        <v>546</v>
      </c>
      <c r="B2" s="563"/>
      <c r="C2" s="564" t="s">
        <v>181</v>
      </c>
      <c r="D2" s="564"/>
      <c r="E2" s="565"/>
      <c r="F2" s="565"/>
      <c r="G2" s="565"/>
      <c r="H2" s="565"/>
      <c r="I2" s="565"/>
      <c r="J2" s="565"/>
      <c r="K2" s="565"/>
      <c r="L2" s="565"/>
      <c r="M2" s="565"/>
      <c r="P2" s="799" t="s">
        <v>303</v>
      </c>
      <c r="Q2" s="799"/>
      <c r="R2" s="1970" t="str">
        <f>A4</f>
        <v>一般住宅地</v>
      </c>
      <c r="S2" s="1970"/>
      <c r="T2" s="1970"/>
      <c r="U2" s="799"/>
      <c r="V2" s="799"/>
      <c r="W2" s="799"/>
      <c r="X2" s="799"/>
      <c r="Y2" s="799"/>
      <c r="Z2" s="800"/>
      <c r="AA2" s="1978" t="str">
        <f>"鑑第岐 "&amp;'評価書作成'!B13&amp;" 号"</f>
        <v>鑑第岐 99999 号</v>
      </c>
      <c r="AB2" s="1978"/>
      <c r="AC2" s="560" t="s">
        <v>582</v>
      </c>
      <c r="AD2" s="63"/>
      <c r="AE2" s="63"/>
      <c r="AF2" s="63"/>
    </row>
    <row r="3" spans="1:32" ht="18.75" customHeight="1" thickTop="1">
      <c r="A3" s="566" t="s">
        <v>391</v>
      </c>
      <c r="B3" s="567"/>
      <c r="C3" s="568"/>
      <c r="D3" s="568"/>
      <c r="E3" s="568"/>
      <c r="F3" s="569" t="s">
        <v>51</v>
      </c>
      <c r="G3" s="570"/>
      <c r="H3" s="571"/>
      <c r="I3" s="571"/>
      <c r="J3" s="572"/>
      <c r="K3" s="573"/>
      <c r="L3" s="573"/>
      <c r="M3" s="568"/>
      <c r="P3" s="801" t="s">
        <v>298</v>
      </c>
      <c r="Q3" s="802" t="s">
        <v>972</v>
      </c>
      <c r="R3" s="802" t="s">
        <v>973</v>
      </c>
      <c r="S3" s="803" t="s">
        <v>663</v>
      </c>
      <c r="T3" s="804" t="s">
        <v>299</v>
      </c>
      <c r="U3" s="805"/>
      <c r="V3" s="805"/>
      <c r="W3" s="805"/>
      <c r="X3" s="805"/>
      <c r="Y3" s="805"/>
      <c r="Z3" s="805"/>
      <c r="AA3" s="805"/>
      <c r="AB3" s="805"/>
      <c r="AC3" s="806"/>
      <c r="AD3" s="65" t="s">
        <v>721</v>
      </c>
      <c r="AE3" s="66"/>
      <c r="AF3" s="66"/>
    </row>
    <row r="4" spans="1:32" ht="18.75" customHeight="1" thickBot="1">
      <c r="A4" s="574" t="str">
        <f>'評価書作成'!B14</f>
        <v>一般住宅地</v>
      </c>
      <c r="B4" s="575"/>
      <c r="C4" s="576"/>
      <c r="D4" s="576"/>
      <c r="E4" s="577"/>
      <c r="F4" s="578" t="s">
        <v>52</v>
      </c>
      <c r="G4" s="579"/>
      <c r="H4" s="580"/>
      <c r="I4" s="580"/>
      <c r="J4" s="581"/>
      <c r="K4" s="582"/>
      <c r="L4" s="582"/>
      <c r="M4" s="583"/>
      <c r="P4" s="807" t="s">
        <v>423</v>
      </c>
      <c r="Q4" s="1961" t="s">
        <v>651</v>
      </c>
      <c r="R4" s="808" t="s">
        <v>438</v>
      </c>
      <c r="S4" s="809">
        <v>1001</v>
      </c>
      <c r="T4" s="810" t="s">
        <v>640</v>
      </c>
      <c r="U4" s="811" t="s">
        <v>727</v>
      </c>
      <c r="V4" s="811" t="s">
        <v>819</v>
      </c>
      <c r="W4" s="811" t="s">
        <v>820</v>
      </c>
      <c r="X4" s="811" t="s">
        <v>731</v>
      </c>
      <c r="Y4" s="811" t="s">
        <v>581</v>
      </c>
      <c r="Z4" s="812"/>
      <c r="AA4" s="812"/>
      <c r="AB4" s="811"/>
      <c r="AC4" s="813"/>
      <c r="AD4" s="67"/>
      <c r="AE4" s="68"/>
      <c r="AF4" s="68"/>
    </row>
    <row r="5" spans="1:32" ht="18.75" customHeight="1" thickTop="1">
      <c r="A5" s="584" t="s">
        <v>537</v>
      </c>
      <c r="B5" s="585"/>
      <c r="C5" s="586"/>
      <c r="D5" s="586"/>
      <c r="E5" s="563"/>
      <c r="F5" s="587"/>
      <c r="G5" s="585"/>
      <c r="H5" s="586"/>
      <c r="I5" s="586"/>
      <c r="J5" s="563"/>
      <c r="K5" s="563"/>
      <c r="L5" s="563"/>
      <c r="M5" s="563"/>
      <c r="O5" s="60"/>
      <c r="P5" s="814" t="s">
        <v>1055</v>
      </c>
      <c r="Q5" s="1962"/>
      <c r="R5" s="815" t="s">
        <v>181</v>
      </c>
      <c r="S5" s="815">
        <v>1002</v>
      </c>
      <c r="T5" s="816">
        <f>A9</f>
        <v>400</v>
      </c>
      <c r="U5" s="817">
        <f>A9</f>
        <v>400</v>
      </c>
      <c r="V5" s="817">
        <f>A10</f>
        <v>1000</v>
      </c>
      <c r="W5" s="817">
        <f>A11</f>
        <v>3000</v>
      </c>
      <c r="X5" s="817">
        <f>A12</f>
        <v>6000</v>
      </c>
      <c r="Y5" s="818">
        <f>A13</f>
        <v>10000</v>
      </c>
      <c r="Z5" s="819"/>
      <c r="AA5" s="819"/>
      <c r="AB5" s="820"/>
      <c r="AC5" s="821"/>
      <c r="AD5" s="67"/>
      <c r="AE5" s="68"/>
      <c r="AF5" s="68"/>
    </row>
    <row r="6" spans="1:32" ht="18.75" customHeight="1" thickBot="1">
      <c r="A6" s="563" t="s">
        <v>438</v>
      </c>
      <c r="B6" s="585" t="s">
        <v>995</v>
      </c>
      <c r="C6" s="588"/>
      <c r="D6" s="588"/>
      <c r="E6" s="561"/>
      <c r="F6" s="561" t="s">
        <v>567</v>
      </c>
      <c r="G6" s="589" t="s">
        <v>995</v>
      </c>
      <c r="H6" s="561"/>
      <c r="I6" s="590"/>
      <c r="J6" s="561"/>
      <c r="K6" s="561" t="s">
        <v>568</v>
      </c>
      <c r="L6" s="561"/>
      <c r="M6" s="561"/>
      <c r="O6" s="60"/>
      <c r="P6" s="822"/>
      <c r="Q6" s="823"/>
      <c r="R6" s="824" t="s">
        <v>181</v>
      </c>
      <c r="S6" s="815">
        <v>1003</v>
      </c>
      <c r="T6" s="825">
        <f>C8</f>
        <v>0</v>
      </c>
      <c r="U6" s="826">
        <f>C9</f>
        <v>-0.5</v>
      </c>
      <c r="V6" s="826">
        <f>C10</f>
        <v>-20</v>
      </c>
      <c r="W6" s="826">
        <f>C11</f>
        <v>-25</v>
      </c>
      <c r="X6" s="826">
        <f>C12</f>
        <v>-30</v>
      </c>
      <c r="Y6" s="827">
        <f>C13</f>
        <v>-50</v>
      </c>
      <c r="Z6" s="819"/>
      <c r="AA6" s="819"/>
      <c r="AB6" s="828"/>
      <c r="AC6" s="829"/>
      <c r="AD6" s="67"/>
      <c r="AE6" s="68"/>
      <c r="AF6" s="68"/>
    </row>
    <row r="7" spans="1:32" ht="18.75" customHeight="1" thickTop="1">
      <c r="A7" s="591" t="s">
        <v>569</v>
      </c>
      <c r="B7" s="592" t="s">
        <v>601</v>
      </c>
      <c r="C7" s="593" t="s">
        <v>1001</v>
      </c>
      <c r="D7" s="568"/>
      <c r="E7" s="563"/>
      <c r="F7" s="591" t="s">
        <v>569</v>
      </c>
      <c r="G7" s="592" t="s">
        <v>601</v>
      </c>
      <c r="H7" s="593" t="s">
        <v>1001</v>
      </c>
      <c r="I7" s="586"/>
      <c r="J7" s="563"/>
      <c r="K7" s="591" t="s">
        <v>1217</v>
      </c>
      <c r="L7" s="592" t="s">
        <v>1218</v>
      </c>
      <c r="M7" s="593" t="s">
        <v>1001</v>
      </c>
      <c r="N7" s="16"/>
      <c r="O7" s="60"/>
      <c r="P7" s="822"/>
      <c r="Q7" s="830" t="s">
        <v>53</v>
      </c>
      <c r="R7" s="831" t="s">
        <v>1014</v>
      </c>
      <c r="S7" s="832">
        <v>1004</v>
      </c>
      <c r="T7" s="833">
        <v>0</v>
      </c>
      <c r="U7" s="834">
        <f>ROUND((V6-U6)/(V5-U5)*('比準演算'!G7-U5)+U6,1)</f>
        <v>4.2</v>
      </c>
      <c r="V7" s="834">
        <f>ROUND((W6-V6)/(W5-V5)*('比準演算'!G7-V5)+V6,1)</f>
        <v>-18.1</v>
      </c>
      <c r="W7" s="834">
        <f>ROUND((X6-W6)/(X5-W5)*('比準演算'!G7-W5)+W6,1)</f>
        <v>-20.4</v>
      </c>
      <c r="X7" s="834">
        <f>ROUND((Y6-X6)/(Y5-X5)*('比準演算'!G7-X5)+X6,1)</f>
        <v>-1.3</v>
      </c>
      <c r="Y7" s="835"/>
      <c r="Z7" s="836"/>
      <c r="AA7" s="836"/>
      <c r="AB7" s="835"/>
      <c r="AC7" s="837"/>
      <c r="AD7" s="67"/>
      <c r="AE7" s="68"/>
      <c r="AF7" s="68"/>
    </row>
    <row r="8" spans="1:32" ht="18.75" customHeight="1">
      <c r="A8" s="594">
        <v>0</v>
      </c>
      <c r="B8" s="595">
        <v>1</v>
      </c>
      <c r="C8" s="596">
        <v>0</v>
      </c>
      <c r="D8" s="597"/>
      <c r="E8" s="563"/>
      <c r="F8" s="598">
        <v>0</v>
      </c>
      <c r="G8" s="599">
        <v>5</v>
      </c>
      <c r="H8" s="600">
        <v>-50</v>
      </c>
      <c r="I8" s="586"/>
      <c r="J8" s="563"/>
      <c r="K8" s="601">
        <v>0</v>
      </c>
      <c r="L8" s="602" t="s">
        <v>517</v>
      </c>
      <c r="M8" s="603">
        <v>0</v>
      </c>
      <c r="N8" s="16"/>
      <c r="O8" s="60"/>
      <c r="P8" s="838"/>
      <c r="Q8" s="839">
        <f>'評価書作成'!B30</f>
        <v>240</v>
      </c>
      <c r="R8" s="840" t="s">
        <v>1220</v>
      </c>
      <c r="S8" s="841">
        <v>1005</v>
      </c>
      <c r="T8" s="842">
        <v>0</v>
      </c>
      <c r="U8" s="843">
        <f>ROUND((V6-U6)/(V5-U5)*('比準演算'!G3-U5)+U6,1)</f>
        <v>3.4</v>
      </c>
      <c r="V8" s="843">
        <f>ROUND((W6-V6)/(W5-V5)*('比準演算'!G3-V5)+V6,1)</f>
        <v>-18.2</v>
      </c>
      <c r="W8" s="843">
        <f>ROUND((X6-W6)/(X5-W5)*('比準演算'!G3-W5)+W6,1)</f>
        <v>-20.5</v>
      </c>
      <c r="X8" s="843">
        <f>ROUND((Y6-X6)/(Y5-X5)*('比準演算'!G3-X5)+X6,1)</f>
        <v>-1.4</v>
      </c>
      <c r="Y8" s="844"/>
      <c r="Z8" s="844"/>
      <c r="AA8" s="844"/>
      <c r="AB8" s="845"/>
      <c r="AC8" s="846"/>
      <c r="AD8" s="67"/>
      <c r="AE8" s="68"/>
      <c r="AF8" s="68"/>
    </row>
    <row r="9" spans="1:32" ht="18.75" customHeight="1">
      <c r="A9" s="604">
        <v>400</v>
      </c>
      <c r="B9" s="605">
        <v>2</v>
      </c>
      <c r="C9" s="606">
        <v>-0.5</v>
      </c>
      <c r="D9" s="607" t="s">
        <v>273</v>
      </c>
      <c r="E9" s="565"/>
      <c r="F9" s="608">
        <v>25</v>
      </c>
      <c r="G9" s="609">
        <v>4</v>
      </c>
      <c r="H9" s="610">
        <v>-40</v>
      </c>
      <c r="I9" s="611"/>
      <c r="J9" s="565"/>
      <c r="K9" s="612">
        <v>1</v>
      </c>
      <c r="L9" s="613" t="s">
        <v>1221</v>
      </c>
      <c r="M9" s="614">
        <v>1</v>
      </c>
      <c r="N9" s="16"/>
      <c r="O9" s="60"/>
      <c r="P9" s="838" t="s">
        <v>669</v>
      </c>
      <c r="Q9" s="847" t="s">
        <v>669</v>
      </c>
      <c r="R9" s="848" t="s">
        <v>567</v>
      </c>
      <c r="S9" s="849">
        <v>1011</v>
      </c>
      <c r="T9" s="850" t="s">
        <v>640</v>
      </c>
      <c r="U9" s="851" t="s">
        <v>727</v>
      </c>
      <c r="V9" s="851" t="s">
        <v>819</v>
      </c>
      <c r="W9" s="851" t="s">
        <v>820</v>
      </c>
      <c r="X9" s="851" t="s">
        <v>731</v>
      </c>
      <c r="Y9" s="851" t="s">
        <v>581</v>
      </c>
      <c r="Z9" s="852"/>
      <c r="AA9" s="852"/>
      <c r="AB9" s="853"/>
      <c r="AC9" s="854"/>
      <c r="AD9" s="67"/>
      <c r="AE9" s="68"/>
      <c r="AF9" s="68"/>
    </row>
    <row r="10" spans="1:32" ht="18.75" customHeight="1">
      <c r="A10" s="615">
        <v>1000</v>
      </c>
      <c r="B10" s="599">
        <v>3</v>
      </c>
      <c r="C10" s="616">
        <v>-20</v>
      </c>
      <c r="D10" s="568"/>
      <c r="E10" s="563"/>
      <c r="F10" s="615">
        <v>50</v>
      </c>
      <c r="G10" s="599">
        <v>3</v>
      </c>
      <c r="H10" s="617">
        <v>-30</v>
      </c>
      <c r="I10" s="586"/>
      <c r="J10" s="563"/>
      <c r="K10" s="601">
        <v>2</v>
      </c>
      <c r="L10" s="602" t="s">
        <v>1222</v>
      </c>
      <c r="M10" s="603">
        <v>2</v>
      </c>
      <c r="N10" s="16"/>
      <c r="O10" s="60"/>
      <c r="P10" s="838"/>
      <c r="Q10" s="855" t="s">
        <v>274</v>
      </c>
      <c r="R10" s="856" t="s">
        <v>538</v>
      </c>
      <c r="S10" s="856">
        <v>1012</v>
      </c>
      <c r="T10" s="857">
        <f>F12</f>
        <v>100</v>
      </c>
      <c r="U10" s="858">
        <f>F12</f>
        <v>100</v>
      </c>
      <c r="V10" s="859">
        <f>F11</f>
        <v>75</v>
      </c>
      <c r="W10" s="859">
        <f>F10</f>
        <v>50</v>
      </c>
      <c r="X10" s="859">
        <f>F9</f>
        <v>25</v>
      </c>
      <c r="Y10" s="860">
        <f>F8</f>
        <v>0</v>
      </c>
      <c r="Z10" s="861"/>
      <c r="AA10" s="861"/>
      <c r="AB10" s="862"/>
      <c r="AC10" s="863"/>
      <c r="AD10" s="67"/>
      <c r="AE10" s="68"/>
      <c r="AF10" s="68"/>
    </row>
    <row r="11" spans="1:32" ht="18.75" customHeight="1">
      <c r="A11" s="615">
        <v>3000</v>
      </c>
      <c r="B11" s="599">
        <v>4</v>
      </c>
      <c r="C11" s="616">
        <v>-25</v>
      </c>
      <c r="D11" s="568"/>
      <c r="E11" s="563"/>
      <c r="F11" s="615">
        <v>75</v>
      </c>
      <c r="G11" s="599">
        <v>2</v>
      </c>
      <c r="H11" s="617">
        <v>-20</v>
      </c>
      <c r="I11" s="586"/>
      <c r="J11" s="563"/>
      <c r="K11" s="601">
        <v>3</v>
      </c>
      <c r="L11" s="602" t="s">
        <v>1061</v>
      </c>
      <c r="M11" s="603">
        <v>0</v>
      </c>
      <c r="N11" s="16"/>
      <c r="O11" s="60"/>
      <c r="P11" s="838"/>
      <c r="Q11" s="864">
        <f>'評価書作成'!D30</f>
        <v>12</v>
      </c>
      <c r="R11" s="865" t="s">
        <v>517</v>
      </c>
      <c r="S11" s="856">
        <v>1013</v>
      </c>
      <c r="T11" s="866">
        <f>H16</f>
        <v>0</v>
      </c>
      <c r="U11" s="867">
        <f>H12</f>
        <v>-0.5</v>
      </c>
      <c r="V11" s="867">
        <f>H11</f>
        <v>-20</v>
      </c>
      <c r="W11" s="867">
        <f>H10</f>
        <v>-30</v>
      </c>
      <c r="X11" s="867">
        <f>H9</f>
        <v>-40</v>
      </c>
      <c r="Y11" s="867">
        <f>H8</f>
        <v>-50</v>
      </c>
      <c r="Z11" s="868"/>
      <c r="AA11" s="868"/>
      <c r="AB11" s="853"/>
      <c r="AC11" s="854"/>
      <c r="AD11" s="67"/>
      <c r="AE11" s="68"/>
      <c r="AF11" s="68"/>
    </row>
    <row r="12" spans="1:32" ht="18.75" customHeight="1" thickBot="1">
      <c r="A12" s="618">
        <v>6000</v>
      </c>
      <c r="B12" s="619">
        <v>5</v>
      </c>
      <c r="C12" s="620">
        <v>-30</v>
      </c>
      <c r="D12" s="568"/>
      <c r="E12" s="563"/>
      <c r="F12" s="621">
        <v>100</v>
      </c>
      <c r="G12" s="622">
        <v>1</v>
      </c>
      <c r="H12" s="623">
        <v>-0.5</v>
      </c>
      <c r="I12" s="624" t="s">
        <v>275</v>
      </c>
      <c r="J12" s="565"/>
      <c r="K12" s="612">
        <v>4</v>
      </c>
      <c r="L12" s="613" t="s">
        <v>1200</v>
      </c>
      <c r="M12" s="614">
        <v>0</v>
      </c>
      <c r="N12" s="16"/>
      <c r="O12" s="60"/>
      <c r="P12" s="838"/>
      <c r="Q12" s="856" t="s">
        <v>276</v>
      </c>
      <c r="R12" s="831" t="s">
        <v>1014</v>
      </c>
      <c r="S12" s="832">
        <v>1014</v>
      </c>
      <c r="T12" s="833">
        <v>0</v>
      </c>
      <c r="U12" s="834">
        <f>ROUND((V11-U11)/(V10-U10)*('比準演算'!G7-U10)+U11,1)</f>
        <v>120.9</v>
      </c>
      <c r="V12" s="834">
        <f>ROUND((W11-V11)/(W10-V10)*('比準演算'!G7-V10)+V11,1)</f>
        <v>52.3</v>
      </c>
      <c r="W12" s="834">
        <f>ROUND((X11-W11)/(X10-W10)*('比準演算'!G7-W10)+W11,1)</f>
        <v>52.3</v>
      </c>
      <c r="X12" s="834">
        <f>ROUND((Y11-X11)/(Y10-X10)*('比準演算'!G7-X10)+X11,1)</f>
        <v>52.3</v>
      </c>
      <c r="Y12" s="869"/>
      <c r="Z12" s="870"/>
      <c r="AA12" s="870"/>
      <c r="AB12" s="871"/>
      <c r="AC12" s="872"/>
      <c r="AD12" s="67"/>
      <c r="AE12" s="68"/>
      <c r="AF12" s="68"/>
    </row>
    <row r="13" spans="1:32" ht="18.75" customHeight="1" thickBot="1" thickTop="1">
      <c r="A13" s="618">
        <v>10000</v>
      </c>
      <c r="B13" s="625" t="s">
        <v>277</v>
      </c>
      <c r="C13" s="626">
        <f>H8</f>
        <v>-50</v>
      </c>
      <c r="D13" s="597"/>
      <c r="E13" s="563"/>
      <c r="F13" s="627" t="s">
        <v>161</v>
      </c>
      <c r="G13" s="628">
        <f>'評価書作成'!B30</f>
        <v>240</v>
      </c>
      <c r="H13" s="629"/>
      <c r="I13" s="586"/>
      <c r="J13" s="563"/>
      <c r="K13" s="601">
        <v>5</v>
      </c>
      <c r="L13" s="602" t="s">
        <v>348</v>
      </c>
      <c r="M13" s="603">
        <v>2</v>
      </c>
      <c r="N13" s="16"/>
      <c r="O13" s="60"/>
      <c r="P13" s="838"/>
      <c r="Q13" s="864">
        <f>'評価書作成'!F30</f>
        <v>20</v>
      </c>
      <c r="R13" s="840" t="s">
        <v>1220</v>
      </c>
      <c r="S13" s="841">
        <v>1015</v>
      </c>
      <c r="T13" s="842">
        <v>0</v>
      </c>
      <c r="U13" s="843">
        <f>ROUND((V11-U11)/(V10-U10)*('比準演算'!G3-U10)+U11,1)</f>
        <v>139.9</v>
      </c>
      <c r="V13" s="843">
        <f>ROUND((W11-V11)/(W10-V10)*('比準演算'!G3-V10)+V11,1)</f>
        <v>62</v>
      </c>
      <c r="W13" s="843">
        <f>ROUND((X11-W11)/(X10-W10)*('比準演算'!G3-W10)+W11,1)</f>
        <v>62</v>
      </c>
      <c r="X13" s="843">
        <f>ROUND((Y11-X11)/(Y10-X10)*('比準演算'!G3-X10)+X11,1)</f>
        <v>62</v>
      </c>
      <c r="Y13" s="844"/>
      <c r="Z13" s="844"/>
      <c r="AA13" s="844"/>
      <c r="AB13" s="845"/>
      <c r="AC13" s="846"/>
      <c r="AD13" s="67"/>
      <c r="AE13" s="68"/>
      <c r="AF13" s="68"/>
    </row>
    <row r="14" spans="1:36" ht="18.75" customHeight="1" thickTop="1">
      <c r="A14" s="630"/>
      <c r="B14" s="631"/>
      <c r="C14" s="597"/>
      <c r="D14" s="597"/>
      <c r="E14" s="563"/>
      <c r="F14" s="563"/>
      <c r="G14" s="563"/>
      <c r="H14" s="563"/>
      <c r="I14" s="586"/>
      <c r="J14" s="563"/>
      <c r="K14" s="601">
        <v>6</v>
      </c>
      <c r="L14" s="602" t="s">
        <v>466</v>
      </c>
      <c r="M14" s="603">
        <v>1</v>
      </c>
      <c r="O14" s="60"/>
      <c r="P14" s="838"/>
      <c r="Q14" s="847" t="s">
        <v>517</v>
      </c>
      <c r="R14" s="848" t="s">
        <v>3</v>
      </c>
      <c r="S14" s="856">
        <v>1021</v>
      </c>
      <c r="T14" s="851" t="s">
        <v>640</v>
      </c>
      <c r="U14" s="851" t="s">
        <v>467</v>
      </c>
      <c r="V14" s="851" t="s">
        <v>616</v>
      </c>
      <c r="W14" s="851" t="s">
        <v>640</v>
      </c>
      <c r="X14" s="851" t="s">
        <v>640</v>
      </c>
      <c r="Y14" s="851" t="s">
        <v>616</v>
      </c>
      <c r="Z14" s="851" t="s">
        <v>616</v>
      </c>
      <c r="AA14" s="851" t="s">
        <v>640</v>
      </c>
      <c r="AB14" s="853" t="s">
        <v>640</v>
      </c>
      <c r="AC14" s="854"/>
      <c r="AD14" s="67"/>
      <c r="AE14" s="68"/>
      <c r="AF14" s="68"/>
      <c r="AJ14" s="69"/>
    </row>
    <row r="15" spans="1:32" ht="18.75" customHeight="1">
      <c r="A15" s="632" t="s">
        <v>183</v>
      </c>
      <c r="B15" s="633"/>
      <c r="C15" s="634"/>
      <c r="D15" s="634"/>
      <c r="E15" s="565"/>
      <c r="F15" s="565"/>
      <c r="G15" s="565"/>
      <c r="H15" s="565"/>
      <c r="I15" s="611"/>
      <c r="J15" s="565"/>
      <c r="K15" s="635">
        <v>7</v>
      </c>
      <c r="L15" s="636" t="s">
        <v>863</v>
      </c>
      <c r="M15" s="614">
        <v>0</v>
      </c>
      <c r="O15" s="60"/>
      <c r="P15" s="838"/>
      <c r="Q15" s="847"/>
      <c r="R15" s="873" t="s">
        <v>184</v>
      </c>
      <c r="S15" s="856">
        <v>1022</v>
      </c>
      <c r="T15" s="874" t="str">
        <f>L8</f>
        <v>　</v>
      </c>
      <c r="U15" s="875" t="str">
        <f>L9</f>
        <v>東</v>
      </c>
      <c r="V15" s="875" t="str">
        <f>L10</f>
        <v>南</v>
      </c>
      <c r="W15" s="875" t="str">
        <f>L11</f>
        <v>西</v>
      </c>
      <c r="X15" s="876" t="str">
        <f>L12</f>
        <v>北</v>
      </c>
      <c r="Y15" s="877" t="str">
        <f>L13</f>
        <v>南東</v>
      </c>
      <c r="Z15" s="877" t="str">
        <f>L14</f>
        <v>南西</v>
      </c>
      <c r="AA15" s="878" t="str">
        <f>L15</f>
        <v>北西</v>
      </c>
      <c r="AB15" s="862" t="str">
        <f>L16</f>
        <v>北東</v>
      </c>
      <c r="AC15" s="863"/>
      <c r="AD15" s="67"/>
      <c r="AE15" s="68"/>
      <c r="AF15" s="68"/>
    </row>
    <row r="16" spans="1:32" ht="18.75" customHeight="1" thickBot="1">
      <c r="A16" s="637" t="s">
        <v>185</v>
      </c>
      <c r="B16" s="638"/>
      <c r="C16" s="611"/>
      <c r="D16" s="611"/>
      <c r="E16" s="565"/>
      <c r="F16" s="565"/>
      <c r="G16" s="565"/>
      <c r="H16" s="565"/>
      <c r="I16" s="611"/>
      <c r="J16" s="565"/>
      <c r="K16" s="639">
        <v>8</v>
      </c>
      <c r="L16" s="640" t="s">
        <v>388</v>
      </c>
      <c r="M16" s="641">
        <v>0</v>
      </c>
      <c r="O16" s="60"/>
      <c r="P16" s="838"/>
      <c r="Q16" s="847"/>
      <c r="R16" s="879"/>
      <c r="S16" s="880">
        <v>1023</v>
      </c>
      <c r="T16" s="881">
        <f>M8</f>
        <v>0</v>
      </c>
      <c r="U16" s="882">
        <f>M9</f>
        <v>1</v>
      </c>
      <c r="V16" s="882">
        <f>M10</f>
        <v>2</v>
      </c>
      <c r="W16" s="882">
        <f>M11</f>
        <v>0</v>
      </c>
      <c r="X16" s="882">
        <f>M12</f>
        <v>0</v>
      </c>
      <c r="Y16" s="883">
        <f>M13</f>
        <v>2</v>
      </c>
      <c r="Z16" s="883">
        <f>M14</f>
        <v>1</v>
      </c>
      <c r="AA16" s="883">
        <f>M15</f>
        <v>0</v>
      </c>
      <c r="AB16" s="883">
        <f>M16</f>
        <v>0</v>
      </c>
      <c r="AC16" s="884"/>
      <c r="AD16" s="67"/>
      <c r="AE16" s="68"/>
      <c r="AF16" s="68"/>
    </row>
    <row r="17" spans="1:32" ht="18.75" customHeight="1" thickBot="1" thickTop="1">
      <c r="A17" s="584" t="s">
        <v>861</v>
      </c>
      <c r="B17" s="585"/>
      <c r="C17" s="563"/>
      <c r="D17" s="563"/>
      <c r="E17" s="588"/>
      <c r="F17" s="642" t="s">
        <v>862</v>
      </c>
      <c r="G17" s="589"/>
      <c r="H17" s="590"/>
      <c r="I17" s="590"/>
      <c r="J17" s="561"/>
      <c r="K17" s="643" t="s">
        <v>259</v>
      </c>
      <c r="L17" s="644"/>
      <c r="M17" s="645"/>
      <c r="O17" s="60"/>
      <c r="P17" s="838"/>
      <c r="Q17" s="847"/>
      <c r="R17" s="848" t="s">
        <v>389</v>
      </c>
      <c r="S17" s="849">
        <v>1031</v>
      </c>
      <c r="T17" s="850" t="s">
        <v>640</v>
      </c>
      <c r="U17" s="851" t="s">
        <v>727</v>
      </c>
      <c r="V17" s="851" t="s">
        <v>819</v>
      </c>
      <c r="W17" s="851" t="s">
        <v>820</v>
      </c>
      <c r="X17" s="851" t="s">
        <v>731</v>
      </c>
      <c r="Y17" s="851" t="s">
        <v>581</v>
      </c>
      <c r="Z17" s="852"/>
      <c r="AA17" s="852"/>
      <c r="AB17" s="853"/>
      <c r="AC17" s="854"/>
      <c r="AD17" s="67"/>
      <c r="AE17" s="68"/>
      <c r="AF17" s="68"/>
    </row>
    <row r="18" spans="1:32" ht="18.75" customHeight="1" thickTop="1">
      <c r="A18" s="646" t="s">
        <v>387</v>
      </c>
      <c r="B18" s="647" t="s">
        <v>601</v>
      </c>
      <c r="C18" s="648" t="s">
        <v>1001</v>
      </c>
      <c r="D18" s="563"/>
      <c r="E18" s="563"/>
      <c r="F18" s="646" t="s">
        <v>387</v>
      </c>
      <c r="G18" s="647" t="s">
        <v>601</v>
      </c>
      <c r="H18" s="648" t="s">
        <v>1001</v>
      </c>
      <c r="I18" s="568"/>
      <c r="J18" s="563"/>
      <c r="K18" s="568"/>
      <c r="L18" s="568"/>
      <c r="M18" s="649"/>
      <c r="O18" s="60"/>
      <c r="P18" s="838"/>
      <c r="Q18" s="847"/>
      <c r="R18" s="1976" t="s">
        <v>186</v>
      </c>
      <c r="S18" s="856">
        <v>1032</v>
      </c>
      <c r="T18" s="885">
        <f>A45</f>
        <v>7.2</v>
      </c>
      <c r="U18" s="886">
        <f>A45</f>
        <v>7.2</v>
      </c>
      <c r="V18" s="886">
        <f>A44</f>
        <v>6</v>
      </c>
      <c r="W18" s="886">
        <f>A43</f>
        <v>4.8</v>
      </c>
      <c r="X18" s="886">
        <f>A42</f>
        <v>3.6</v>
      </c>
      <c r="Y18" s="887">
        <v>0</v>
      </c>
      <c r="Z18" s="861"/>
      <c r="AA18" s="861"/>
      <c r="AB18" s="862"/>
      <c r="AC18" s="863"/>
      <c r="AD18" s="67"/>
      <c r="AE18" s="68"/>
      <c r="AF18" s="68"/>
    </row>
    <row r="19" spans="1:32" ht="18.75" customHeight="1" thickBot="1">
      <c r="A19" s="650">
        <v>0</v>
      </c>
      <c r="B19" s="651">
        <v>1</v>
      </c>
      <c r="C19" s="652">
        <v>0</v>
      </c>
      <c r="D19" s="597"/>
      <c r="E19" s="563"/>
      <c r="F19" s="653">
        <v>0</v>
      </c>
      <c r="G19" s="651">
        <v>1</v>
      </c>
      <c r="H19" s="654">
        <v>0</v>
      </c>
      <c r="I19" s="597"/>
      <c r="J19" s="563"/>
      <c r="K19" s="563" t="s">
        <v>672</v>
      </c>
      <c r="L19" s="563"/>
      <c r="M19" s="563"/>
      <c r="O19" s="60"/>
      <c r="P19" s="838"/>
      <c r="Q19" s="847"/>
      <c r="R19" s="1977"/>
      <c r="S19" s="856">
        <v>1033</v>
      </c>
      <c r="T19" s="888">
        <f>C45</f>
        <v>0</v>
      </c>
      <c r="U19" s="889">
        <f>C44</f>
        <v>-0.5</v>
      </c>
      <c r="V19" s="889">
        <f>C43</f>
        <v>-5</v>
      </c>
      <c r="W19" s="889">
        <f>C42</f>
        <v>-7</v>
      </c>
      <c r="X19" s="889">
        <f>C41</f>
        <v>-10</v>
      </c>
      <c r="Y19" s="890">
        <f>C46</f>
        <v>-20</v>
      </c>
      <c r="Z19" s="868"/>
      <c r="AA19" s="868"/>
      <c r="AB19" s="853"/>
      <c r="AC19" s="854"/>
      <c r="AD19" s="67"/>
      <c r="AE19" s="68"/>
      <c r="AF19" s="68"/>
    </row>
    <row r="20" spans="1:32" ht="18.75" customHeight="1" thickTop="1">
      <c r="A20" s="650">
        <v>2</v>
      </c>
      <c r="B20" s="651">
        <v>2</v>
      </c>
      <c r="C20" s="652">
        <v>0.6</v>
      </c>
      <c r="D20" s="568"/>
      <c r="E20" s="563"/>
      <c r="F20" s="653">
        <f aca="true" t="shared" si="0" ref="F20:F26">A20</f>
        <v>2</v>
      </c>
      <c r="G20" s="651">
        <v>2</v>
      </c>
      <c r="H20" s="654">
        <f aca="true" t="shared" si="1" ref="H20:H26">C20</f>
        <v>0.6</v>
      </c>
      <c r="I20" s="568"/>
      <c r="J20" s="563"/>
      <c r="K20" s="591" t="s">
        <v>1217</v>
      </c>
      <c r="L20" s="592" t="s">
        <v>854</v>
      </c>
      <c r="M20" s="593" t="s">
        <v>1001</v>
      </c>
      <c r="N20" s="655"/>
      <c r="O20" s="60"/>
      <c r="P20" s="838"/>
      <c r="Q20" s="847"/>
      <c r="R20" s="891" t="s">
        <v>1014</v>
      </c>
      <c r="S20" s="832">
        <v>1034</v>
      </c>
      <c r="T20" s="833">
        <v>0</v>
      </c>
      <c r="U20" s="834">
        <f>ROUND((V19-U19)/(V18-U18)*('比準演算'!AB7-U18)+U19,1)</f>
        <v>9.3</v>
      </c>
      <c r="V20" s="834">
        <f>ROUND((W19-V19)/(W18-V18)*('比準演算'!AB7-V18)+V19,1)</f>
        <v>1.3</v>
      </c>
      <c r="W20" s="834">
        <f>ROUND((X19-W19)/(X18-W18)*('比準演算'!AB7-W18)+W19,1)</f>
        <v>5.5</v>
      </c>
      <c r="X20" s="834">
        <f>ROUND((Y19-X19)/(Y18-X18)*('比準演算'!AB7-X18)+X19,1)</f>
        <v>7.2</v>
      </c>
      <c r="Y20" s="892"/>
      <c r="Z20" s="836"/>
      <c r="AA20" s="836"/>
      <c r="AB20" s="835"/>
      <c r="AC20" s="837"/>
      <c r="AD20" s="67"/>
      <c r="AE20" s="68"/>
      <c r="AF20" s="68"/>
    </row>
    <row r="21" spans="1:32" ht="18.75" customHeight="1">
      <c r="A21" s="650">
        <v>3</v>
      </c>
      <c r="B21" s="651">
        <v>3</v>
      </c>
      <c r="C21" s="652">
        <v>0.8</v>
      </c>
      <c r="D21" s="568"/>
      <c r="E21" s="563"/>
      <c r="F21" s="653">
        <f t="shared" si="0"/>
        <v>3</v>
      </c>
      <c r="G21" s="651">
        <v>3</v>
      </c>
      <c r="H21" s="654">
        <f t="shared" si="1"/>
        <v>0.8</v>
      </c>
      <c r="I21" s="568"/>
      <c r="J21" s="563"/>
      <c r="K21" s="656">
        <v>0</v>
      </c>
      <c r="L21" s="657" t="s">
        <v>158</v>
      </c>
      <c r="M21" s="617">
        <v>0</v>
      </c>
      <c r="N21" s="655"/>
      <c r="O21" s="60"/>
      <c r="P21" s="838"/>
      <c r="Q21" s="847"/>
      <c r="R21" s="840" t="s">
        <v>1220</v>
      </c>
      <c r="S21" s="841">
        <v>1035</v>
      </c>
      <c r="T21" s="842">
        <v>0</v>
      </c>
      <c r="U21" s="843">
        <f>ROUND((V19-U19)/(V18-U18)*('比準演算'!AB3-U18)+U19,1)</f>
        <v>24.3</v>
      </c>
      <c r="V21" s="843">
        <f>ROUND((W19-V19)/(W18-V18)*('比準演算'!AB3-V18)+V19,1)</f>
        <v>8</v>
      </c>
      <c r="W21" s="843">
        <f>ROUND((X19-W19)/(X18-W18)*('比準演算'!AB3-W18)+W19,1)</f>
        <v>15.5</v>
      </c>
      <c r="X21" s="843">
        <f>ROUND((Y19-X19)/(Y18-X18)*('比準演算'!AB3-X18)+X19,1)</f>
        <v>18.3</v>
      </c>
      <c r="Y21" s="844"/>
      <c r="Z21" s="844"/>
      <c r="AA21" s="844"/>
      <c r="AB21" s="845"/>
      <c r="AC21" s="846"/>
      <c r="AD21" s="67"/>
      <c r="AE21" s="68"/>
      <c r="AF21" s="68"/>
    </row>
    <row r="22" spans="1:32" ht="18.75" customHeight="1">
      <c r="A22" s="650">
        <v>4</v>
      </c>
      <c r="B22" s="651">
        <v>4</v>
      </c>
      <c r="C22" s="652">
        <v>1</v>
      </c>
      <c r="D22" s="568"/>
      <c r="E22" s="563"/>
      <c r="F22" s="653">
        <f t="shared" si="0"/>
        <v>4</v>
      </c>
      <c r="G22" s="651">
        <v>4</v>
      </c>
      <c r="H22" s="654">
        <f t="shared" si="1"/>
        <v>1</v>
      </c>
      <c r="I22" s="568"/>
      <c r="J22" s="563"/>
      <c r="K22" s="656">
        <v>1</v>
      </c>
      <c r="L22" s="657" t="s">
        <v>840</v>
      </c>
      <c r="M22" s="617">
        <v>0</v>
      </c>
      <c r="N22" s="655"/>
      <c r="P22" s="838"/>
      <c r="Q22" s="847" t="s">
        <v>669</v>
      </c>
      <c r="R22" s="848" t="s">
        <v>673</v>
      </c>
      <c r="S22" s="849">
        <v>1041</v>
      </c>
      <c r="T22" s="850" t="s">
        <v>640</v>
      </c>
      <c r="U22" s="851" t="s">
        <v>727</v>
      </c>
      <c r="V22" s="851" t="s">
        <v>819</v>
      </c>
      <c r="W22" s="851" t="s">
        <v>820</v>
      </c>
      <c r="X22" s="851" t="s">
        <v>731</v>
      </c>
      <c r="Y22" s="851" t="s">
        <v>581</v>
      </c>
      <c r="Z22" s="852"/>
      <c r="AA22" s="852"/>
      <c r="AB22" s="853"/>
      <c r="AC22" s="854"/>
      <c r="AD22" s="67"/>
      <c r="AE22" s="68"/>
      <c r="AF22" s="68"/>
    </row>
    <row r="23" spans="1:32" ht="18.75" customHeight="1">
      <c r="A23" s="650">
        <v>5</v>
      </c>
      <c r="B23" s="651">
        <v>5</v>
      </c>
      <c r="C23" s="652">
        <v>1.5</v>
      </c>
      <c r="D23" s="568"/>
      <c r="E23" s="563"/>
      <c r="F23" s="653">
        <f t="shared" si="0"/>
        <v>5</v>
      </c>
      <c r="G23" s="651">
        <v>5</v>
      </c>
      <c r="H23" s="654">
        <f t="shared" si="1"/>
        <v>1.5</v>
      </c>
      <c r="I23" s="568"/>
      <c r="J23" s="563"/>
      <c r="K23" s="656">
        <v>2</v>
      </c>
      <c r="L23" s="657" t="s">
        <v>841</v>
      </c>
      <c r="M23" s="617">
        <v>0</v>
      </c>
      <c r="N23" s="655"/>
      <c r="P23" s="838"/>
      <c r="Q23" s="847"/>
      <c r="R23" s="1976" t="s">
        <v>38</v>
      </c>
      <c r="S23" s="856">
        <v>1042</v>
      </c>
      <c r="T23" s="893">
        <f>F42</f>
        <v>30</v>
      </c>
      <c r="U23" s="894">
        <f>F42</f>
        <v>30</v>
      </c>
      <c r="V23" s="894">
        <f>F43</f>
        <v>40</v>
      </c>
      <c r="W23" s="894">
        <f>F44</f>
        <v>50</v>
      </c>
      <c r="X23" s="894">
        <f>F45</f>
        <v>60</v>
      </c>
      <c r="Y23" s="887">
        <f>F46</f>
        <v>500</v>
      </c>
      <c r="Z23" s="861"/>
      <c r="AA23" s="861"/>
      <c r="AB23" s="862"/>
      <c r="AC23" s="863"/>
      <c r="AD23" s="67"/>
      <c r="AE23" s="68"/>
      <c r="AF23" s="68"/>
    </row>
    <row r="24" spans="1:32" ht="18.75" customHeight="1">
      <c r="A24" s="650">
        <v>6</v>
      </c>
      <c r="B24" s="651">
        <v>6</v>
      </c>
      <c r="C24" s="652">
        <v>2</v>
      </c>
      <c r="D24" s="568"/>
      <c r="E24" s="563"/>
      <c r="F24" s="653">
        <f t="shared" si="0"/>
        <v>6</v>
      </c>
      <c r="G24" s="651">
        <v>6</v>
      </c>
      <c r="H24" s="654">
        <f t="shared" si="1"/>
        <v>2</v>
      </c>
      <c r="I24" s="568"/>
      <c r="J24" s="563"/>
      <c r="K24" s="656">
        <v>3</v>
      </c>
      <c r="L24" s="657" t="s">
        <v>39</v>
      </c>
      <c r="M24" s="617">
        <v>0</v>
      </c>
      <c r="N24" s="655"/>
      <c r="P24" s="838"/>
      <c r="Q24" s="847"/>
      <c r="R24" s="1977"/>
      <c r="S24" s="856">
        <v>1043</v>
      </c>
      <c r="T24" s="888">
        <f>H41</f>
        <v>0</v>
      </c>
      <c r="U24" s="889">
        <f>H42</f>
        <v>-0.5</v>
      </c>
      <c r="V24" s="889">
        <f>H43</f>
        <v>-5</v>
      </c>
      <c r="W24" s="889">
        <f>H44</f>
        <v>-10</v>
      </c>
      <c r="X24" s="889">
        <f>H45</f>
        <v>-30</v>
      </c>
      <c r="Y24" s="890">
        <f>H46</f>
        <v>-40</v>
      </c>
      <c r="Z24" s="868"/>
      <c r="AA24" s="868"/>
      <c r="AB24" s="853"/>
      <c r="AC24" s="854"/>
      <c r="AD24" s="67"/>
      <c r="AE24" s="68"/>
      <c r="AF24" s="68"/>
    </row>
    <row r="25" spans="1:32" ht="18.75" customHeight="1">
      <c r="A25" s="650">
        <v>7</v>
      </c>
      <c r="B25" s="651">
        <v>7</v>
      </c>
      <c r="C25" s="652">
        <v>2.5</v>
      </c>
      <c r="D25" s="568"/>
      <c r="E25" s="563"/>
      <c r="F25" s="653">
        <f t="shared" si="0"/>
        <v>7</v>
      </c>
      <c r="G25" s="651">
        <v>7</v>
      </c>
      <c r="H25" s="654">
        <f t="shared" si="1"/>
        <v>2.5</v>
      </c>
      <c r="I25" s="568"/>
      <c r="J25" s="563"/>
      <c r="K25" s="656">
        <v>4</v>
      </c>
      <c r="L25" s="657" t="s">
        <v>1044</v>
      </c>
      <c r="M25" s="617">
        <v>-2</v>
      </c>
      <c r="P25" s="838"/>
      <c r="Q25" s="847"/>
      <c r="R25" s="895" t="s">
        <v>1014</v>
      </c>
      <c r="S25" s="832">
        <v>1044</v>
      </c>
      <c r="T25" s="833">
        <v>0</v>
      </c>
      <c r="U25" s="834">
        <f>ROUND((V24-U24)/(V23-U23)*('比準演算'!AC7-U23)+U24,1)</f>
        <v>2.7</v>
      </c>
      <c r="V25" s="834">
        <f>ROUND((W24-V24)/(W23-V23)*('比準演算'!AC7-V23)+V24,1)</f>
        <v>3.6</v>
      </c>
      <c r="W25" s="834">
        <f>ROUND((X24-W24)/(X23-W23)*('比準演算'!AC7-W23)+W24,1)</f>
        <v>44.4</v>
      </c>
      <c r="X25" s="834">
        <f>ROUND((Y24-X24)/(Y23-X23)*('比準演算'!AC7-X23)+X24,1)</f>
        <v>-29.2</v>
      </c>
      <c r="Y25" s="869"/>
      <c r="Z25" s="870"/>
      <c r="AA25" s="870"/>
      <c r="AB25" s="871"/>
      <c r="AC25" s="872"/>
      <c r="AD25" s="67"/>
      <c r="AE25" s="68"/>
      <c r="AF25" s="68"/>
    </row>
    <row r="26" spans="1:32" ht="18.75" customHeight="1" thickBot="1">
      <c r="A26" s="658">
        <v>8</v>
      </c>
      <c r="B26" s="659">
        <v>8</v>
      </c>
      <c r="C26" s="660">
        <v>3</v>
      </c>
      <c r="D26" s="568"/>
      <c r="E26" s="563"/>
      <c r="F26" s="661">
        <f t="shared" si="0"/>
        <v>8</v>
      </c>
      <c r="G26" s="659">
        <v>8</v>
      </c>
      <c r="H26" s="662">
        <f t="shared" si="1"/>
        <v>3</v>
      </c>
      <c r="I26" s="568"/>
      <c r="J26" s="563"/>
      <c r="K26" s="656">
        <v>5</v>
      </c>
      <c r="L26" s="657" t="s">
        <v>474</v>
      </c>
      <c r="M26" s="617">
        <v>-5</v>
      </c>
      <c r="N26" s="663"/>
      <c r="P26" s="838"/>
      <c r="Q26" s="847"/>
      <c r="R26" s="840" t="s">
        <v>1220</v>
      </c>
      <c r="S26" s="841">
        <v>1045</v>
      </c>
      <c r="T26" s="842">
        <v>0</v>
      </c>
      <c r="U26" s="843">
        <f>ROUND((V24-U24)/(V23-U23)*('比準演算'!AC3-U23)+U24,1)</f>
        <v>7.4</v>
      </c>
      <c r="V26" s="843">
        <f>ROUND((W24-V24)/(W23-V23)*('比準演算'!AC3-V23)+V24,1)</f>
        <v>8.8</v>
      </c>
      <c r="W26" s="843">
        <f>ROUND((X24-W24)/(X23-W23)*('比準演算'!AC3-W23)+W24,1)</f>
        <v>65</v>
      </c>
      <c r="X26" s="843">
        <f>ROUND((Y24-X24)/(Y23-X23)*('比準演算'!AC3-X23)+X24,1)</f>
        <v>-28.9</v>
      </c>
      <c r="Y26" s="844"/>
      <c r="Z26" s="844"/>
      <c r="AA26" s="844"/>
      <c r="AB26" s="845"/>
      <c r="AC26" s="846"/>
      <c r="AD26" s="67"/>
      <c r="AE26" s="68"/>
      <c r="AF26" s="68"/>
    </row>
    <row r="27" spans="1:32" ht="18.75" customHeight="1" thickTop="1">
      <c r="A27" s="563" t="s">
        <v>867</v>
      </c>
      <c r="B27" s="585"/>
      <c r="C27" s="586"/>
      <c r="D27" s="586"/>
      <c r="E27" s="563"/>
      <c r="F27" s="563" t="s">
        <v>261</v>
      </c>
      <c r="G27" s="585"/>
      <c r="H27" s="586"/>
      <c r="I27" s="586"/>
      <c r="J27" s="563"/>
      <c r="K27" s="656">
        <v>6</v>
      </c>
      <c r="L27" s="657" t="s">
        <v>584</v>
      </c>
      <c r="M27" s="617">
        <v>-10</v>
      </c>
      <c r="N27" s="664"/>
      <c r="P27" s="838"/>
      <c r="Q27" s="847"/>
      <c r="R27" s="848" t="s">
        <v>407</v>
      </c>
      <c r="S27" s="849">
        <v>1051</v>
      </c>
      <c r="T27" s="850" t="s">
        <v>640</v>
      </c>
      <c r="U27" s="851" t="s">
        <v>727</v>
      </c>
      <c r="V27" s="851" t="s">
        <v>819</v>
      </c>
      <c r="W27" s="851" t="s">
        <v>820</v>
      </c>
      <c r="X27" s="851" t="s">
        <v>731</v>
      </c>
      <c r="Y27" s="851" t="s">
        <v>581</v>
      </c>
      <c r="Z27" s="852"/>
      <c r="AA27" s="852"/>
      <c r="AB27" s="853"/>
      <c r="AC27" s="854"/>
      <c r="AD27" s="67"/>
      <c r="AE27" s="68"/>
      <c r="AF27" s="68"/>
    </row>
    <row r="28" spans="1:32" ht="18.75" customHeight="1" thickBot="1">
      <c r="A28" s="584" t="s">
        <v>620</v>
      </c>
      <c r="B28" s="585"/>
      <c r="C28" s="586"/>
      <c r="D28" s="586"/>
      <c r="E28" s="563"/>
      <c r="F28" s="584" t="s">
        <v>1287</v>
      </c>
      <c r="G28" s="585"/>
      <c r="H28" s="586"/>
      <c r="I28" s="563"/>
      <c r="J28" s="563"/>
      <c r="K28" s="656">
        <v>7</v>
      </c>
      <c r="L28" s="657" t="s">
        <v>669</v>
      </c>
      <c r="M28" s="617">
        <v>0</v>
      </c>
      <c r="N28" s="665"/>
      <c r="P28" s="838"/>
      <c r="Q28" s="847"/>
      <c r="R28" s="1976" t="s">
        <v>38</v>
      </c>
      <c r="S28" s="856">
        <v>1052</v>
      </c>
      <c r="T28" s="885">
        <f>A55</f>
        <v>8</v>
      </c>
      <c r="U28" s="886">
        <f>A55</f>
        <v>8</v>
      </c>
      <c r="V28" s="886">
        <f>A54</f>
        <v>7</v>
      </c>
      <c r="W28" s="886">
        <f>A53</f>
        <v>6</v>
      </c>
      <c r="X28" s="886">
        <f>A52</f>
        <v>4</v>
      </c>
      <c r="Y28" s="887">
        <v>0</v>
      </c>
      <c r="Z28" s="861"/>
      <c r="AA28" s="861"/>
      <c r="AB28" s="862"/>
      <c r="AC28" s="863"/>
      <c r="AD28" s="67"/>
      <c r="AE28" s="68"/>
      <c r="AF28" s="68"/>
    </row>
    <row r="29" spans="1:32" ht="18.75" customHeight="1" thickTop="1">
      <c r="A29" s="646" t="s">
        <v>387</v>
      </c>
      <c r="B29" s="647" t="s">
        <v>601</v>
      </c>
      <c r="C29" s="648" t="s">
        <v>1001</v>
      </c>
      <c r="D29" s="568"/>
      <c r="E29" s="563"/>
      <c r="F29" s="646" t="s">
        <v>387</v>
      </c>
      <c r="G29" s="647" t="s">
        <v>601</v>
      </c>
      <c r="H29" s="648" t="s">
        <v>1001</v>
      </c>
      <c r="I29" s="563"/>
      <c r="J29" s="563"/>
      <c r="K29" s="656">
        <v>8</v>
      </c>
      <c r="L29" s="657" t="s">
        <v>669</v>
      </c>
      <c r="M29" s="617">
        <v>0</v>
      </c>
      <c r="N29" s="665"/>
      <c r="P29" s="838"/>
      <c r="Q29" s="847"/>
      <c r="R29" s="1977"/>
      <c r="S29" s="896">
        <v>1053</v>
      </c>
      <c r="T29" s="866">
        <f>C55</f>
        <v>0</v>
      </c>
      <c r="U29" s="867">
        <f>C54</f>
        <v>-0.5</v>
      </c>
      <c r="V29" s="867">
        <f>C53</f>
        <v>-3</v>
      </c>
      <c r="W29" s="867">
        <f>C52</f>
        <v>-5</v>
      </c>
      <c r="X29" s="867">
        <f>C51</f>
        <v>-10</v>
      </c>
      <c r="Y29" s="890">
        <f>C56</f>
        <v>-20</v>
      </c>
      <c r="Z29" s="868"/>
      <c r="AA29" s="868"/>
      <c r="AB29" s="853"/>
      <c r="AC29" s="854"/>
      <c r="AD29" s="67"/>
      <c r="AE29" s="68"/>
      <c r="AF29" s="68"/>
    </row>
    <row r="30" spans="1:32" ht="18.75" customHeight="1" thickBot="1">
      <c r="A30" s="653">
        <v>0</v>
      </c>
      <c r="B30" s="651">
        <v>1</v>
      </c>
      <c r="C30" s="654">
        <v>0</v>
      </c>
      <c r="D30" s="597"/>
      <c r="E30" s="563"/>
      <c r="F30" s="653">
        <v>0</v>
      </c>
      <c r="G30" s="651">
        <v>1</v>
      </c>
      <c r="H30" s="654">
        <f>C19</f>
        <v>0</v>
      </c>
      <c r="I30" s="563"/>
      <c r="J30" s="563"/>
      <c r="K30" s="666"/>
      <c r="L30" s="667"/>
      <c r="M30" s="668"/>
      <c r="P30" s="838"/>
      <c r="Q30" s="847"/>
      <c r="R30" s="891" t="s">
        <v>1014</v>
      </c>
      <c r="S30" s="832">
        <v>1054</v>
      </c>
      <c r="T30" s="833">
        <v>0</v>
      </c>
      <c r="U30" s="834">
        <f>ROUND((V29-U29)/(V28-U28)*('比準演算'!AC7-U28)+U29,1)</f>
        <v>36.5</v>
      </c>
      <c r="V30" s="834">
        <f>ROUND((W29-V29)/(W28-V28)*('比準演算'!AC7-V28)+V29,1)</f>
        <v>28.6</v>
      </c>
      <c r="W30" s="834">
        <f>ROUND((X29-W29)/(X28-W28)*('比準演算'!AC7-W28)+W29,1)</f>
        <v>37</v>
      </c>
      <c r="X30" s="834">
        <f>ROUND((Y29-X29)/(Y28-X28)*('比準演算'!AC7-X28)+X29,1)</f>
        <v>37</v>
      </c>
      <c r="Y30" s="892"/>
      <c r="Z30" s="836"/>
      <c r="AA30" s="836"/>
      <c r="AB30" s="835"/>
      <c r="AC30" s="837"/>
      <c r="AD30" s="67"/>
      <c r="AE30" s="68"/>
      <c r="AF30" s="68"/>
    </row>
    <row r="31" spans="1:32" ht="18.75" customHeight="1" thickTop="1">
      <c r="A31" s="653">
        <f aca="true" t="shared" si="2" ref="A31:A37">A20</f>
        <v>2</v>
      </c>
      <c r="B31" s="651">
        <v>2</v>
      </c>
      <c r="C31" s="654">
        <f aca="true" t="shared" si="3" ref="C31:C37">C20</f>
        <v>0.6</v>
      </c>
      <c r="D31" s="631"/>
      <c r="E31" s="563"/>
      <c r="F31" s="653">
        <f aca="true" t="shared" si="4" ref="F31:F37">A20</f>
        <v>2</v>
      </c>
      <c r="G31" s="651">
        <v>2</v>
      </c>
      <c r="H31" s="654">
        <f aca="true" t="shared" si="5" ref="H31:H36">C20</f>
        <v>0.6</v>
      </c>
      <c r="I31" s="563"/>
      <c r="J31" s="563"/>
      <c r="K31" s="563"/>
      <c r="L31" s="563"/>
      <c r="M31" s="563"/>
      <c r="P31" s="838"/>
      <c r="Q31" s="847"/>
      <c r="R31" s="840" t="s">
        <v>1220</v>
      </c>
      <c r="S31" s="841">
        <v>1055</v>
      </c>
      <c r="T31" s="842">
        <v>0</v>
      </c>
      <c r="U31" s="843">
        <f>ROUND((V29-U29)/(V28-U28)*('比準演算'!AC3-U28)+U29,1)</f>
        <v>10.8</v>
      </c>
      <c r="V31" s="843">
        <f>ROUND((W29-V29)/(W28-V28)*('比準演算'!AC3-V28)+V29,1)</f>
        <v>8</v>
      </c>
      <c r="W31" s="843">
        <f>ROUND((X29-W29)/(X28-W28)*('比準演算'!AC3-W28)+W29,1)</f>
        <v>11.3</v>
      </c>
      <c r="X31" s="843">
        <f>ROUND((Y29-X29)/(Y28-X28)*('比準演算'!AC3-X28)+X29,1)</f>
        <v>11.3</v>
      </c>
      <c r="Y31" s="844"/>
      <c r="Z31" s="844"/>
      <c r="AA31" s="844"/>
      <c r="AB31" s="845"/>
      <c r="AC31" s="846"/>
      <c r="AD31" s="67"/>
      <c r="AE31" s="68"/>
      <c r="AF31" s="68"/>
    </row>
    <row r="32" spans="1:32" ht="18.75" customHeight="1">
      <c r="A32" s="653">
        <f t="shared" si="2"/>
        <v>3</v>
      </c>
      <c r="B32" s="651">
        <v>3</v>
      </c>
      <c r="C32" s="654">
        <f t="shared" si="3"/>
        <v>0.8</v>
      </c>
      <c r="D32" s="631"/>
      <c r="E32" s="563"/>
      <c r="F32" s="653">
        <f t="shared" si="4"/>
        <v>3</v>
      </c>
      <c r="G32" s="651">
        <v>3</v>
      </c>
      <c r="H32" s="654">
        <f t="shared" si="5"/>
        <v>0.8</v>
      </c>
      <c r="I32" s="563"/>
      <c r="J32" s="563"/>
      <c r="K32" s="563"/>
      <c r="L32" s="563"/>
      <c r="M32" s="563"/>
      <c r="P32" s="838"/>
      <c r="Q32" s="847" t="s">
        <v>669</v>
      </c>
      <c r="R32" s="879" t="s">
        <v>162</v>
      </c>
      <c r="S32" s="856">
        <v>1061</v>
      </c>
      <c r="T32" s="897" t="s">
        <v>640</v>
      </c>
      <c r="U32" s="853" t="s">
        <v>727</v>
      </c>
      <c r="V32" s="853" t="s">
        <v>819</v>
      </c>
      <c r="W32" s="853" t="s">
        <v>820</v>
      </c>
      <c r="X32" s="853" t="s">
        <v>731</v>
      </c>
      <c r="Y32" s="851" t="s">
        <v>581</v>
      </c>
      <c r="Z32" s="868"/>
      <c r="AA32" s="868"/>
      <c r="AB32" s="853"/>
      <c r="AC32" s="854"/>
      <c r="AD32" s="67"/>
      <c r="AE32" s="68"/>
      <c r="AF32" s="68"/>
    </row>
    <row r="33" spans="1:32" ht="18.75" customHeight="1" thickBot="1">
      <c r="A33" s="653">
        <f t="shared" si="2"/>
        <v>4</v>
      </c>
      <c r="B33" s="651">
        <v>4</v>
      </c>
      <c r="C33" s="654">
        <f t="shared" si="3"/>
        <v>1</v>
      </c>
      <c r="D33" s="631"/>
      <c r="E33" s="563"/>
      <c r="F33" s="653">
        <f t="shared" si="4"/>
        <v>4</v>
      </c>
      <c r="G33" s="651">
        <v>4</v>
      </c>
      <c r="H33" s="654">
        <f t="shared" si="5"/>
        <v>1</v>
      </c>
      <c r="I33" s="563"/>
      <c r="J33" s="563"/>
      <c r="K33" s="563" t="s">
        <v>1099</v>
      </c>
      <c r="L33" s="563"/>
      <c r="M33" s="563"/>
      <c r="N33" s="16"/>
      <c r="P33" s="838"/>
      <c r="Q33" s="847"/>
      <c r="R33" s="1976" t="s">
        <v>40</v>
      </c>
      <c r="S33" s="856">
        <v>1062</v>
      </c>
      <c r="T33" s="898">
        <f>F52</f>
        <v>2.5</v>
      </c>
      <c r="U33" s="899">
        <f>F52</f>
        <v>2.5</v>
      </c>
      <c r="V33" s="899">
        <f>F53</f>
        <v>3.3</v>
      </c>
      <c r="W33" s="899">
        <f>F54</f>
        <v>4.2</v>
      </c>
      <c r="X33" s="899">
        <f>F55</f>
        <v>5</v>
      </c>
      <c r="Y33" s="900">
        <f>F56</f>
        <v>10</v>
      </c>
      <c r="Z33" s="861"/>
      <c r="AA33" s="861"/>
      <c r="AB33" s="862"/>
      <c r="AC33" s="863"/>
      <c r="AD33" s="67"/>
      <c r="AE33" s="68"/>
      <c r="AF33" s="68"/>
    </row>
    <row r="34" spans="1:32" ht="18.75" customHeight="1" thickTop="1">
      <c r="A34" s="653">
        <f t="shared" si="2"/>
        <v>5</v>
      </c>
      <c r="B34" s="651">
        <v>5</v>
      </c>
      <c r="C34" s="654">
        <f t="shared" si="3"/>
        <v>1.5</v>
      </c>
      <c r="D34" s="631"/>
      <c r="E34" s="563"/>
      <c r="F34" s="653">
        <f t="shared" si="4"/>
        <v>5</v>
      </c>
      <c r="G34" s="651">
        <v>5</v>
      </c>
      <c r="H34" s="654">
        <f t="shared" si="5"/>
        <v>1.5</v>
      </c>
      <c r="I34" s="563"/>
      <c r="J34" s="563"/>
      <c r="K34" s="591" t="s">
        <v>1217</v>
      </c>
      <c r="L34" s="592" t="s">
        <v>1099</v>
      </c>
      <c r="M34" s="593" t="s">
        <v>1001</v>
      </c>
      <c r="N34" s="663"/>
      <c r="P34" s="838"/>
      <c r="Q34" s="847"/>
      <c r="R34" s="1977"/>
      <c r="S34" s="856">
        <v>1063</v>
      </c>
      <c r="T34" s="888">
        <f>H51</f>
        <v>0</v>
      </c>
      <c r="U34" s="889">
        <f>H52</f>
        <v>-0.5</v>
      </c>
      <c r="V34" s="889">
        <f>H53</f>
        <v>-3</v>
      </c>
      <c r="W34" s="889">
        <f>H54</f>
        <v>-5</v>
      </c>
      <c r="X34" s="889">
        <f>H55</f>
        <v>-10</v>
      </c>
      <c r="Y34" s="889">
        <f>H56</f>
        <v>-20</v>
      </c>
      <c r="Z34" s="868"/>
      <c r="AA34" s="868"/>
      <c r="AB34" s="853"/>
      <c r="AC34" s="854"/>
      <c r="AD34" s="67"/>
      <c r="AE34" s="68"/>
      <c r="AF34" s="68"/>
    </row>
    <row r="35" spans="1:33" ht="18.75" customHeight="1">
      <c r="A35" s="653">
        <f t="shared" si="2"/>
        <v>6</v>
      </c>
      <c r="B35" s="651">
        <v>6</v>
      </c>
      <c r="C35" s="654">
        <f t="shared" si="3"/>
        <v>2</v>
      </c>
      <c r="D35" s="631"/>
      <c r="E35" s="563"/>
      <c r="F35" s="653">
        <f t="shared" si="4"/>
        <v>6</v>
      </c>
      <c r="G35" s="651">
        <v>6</v>
      </c>
      <c r="H35" s="654">
        <f t="shared" si="5"/>
        <v>2</v>
      </c>
      <c r="I35" s="563"/>
      <c r="J35" s="563"/>
      <c r="K35" s="656">
        <v>1</v>
      </c>
      <c r="L35" s="657" t="s">
        <v>214</v>
      </c>
      <c r="M35" s="617">
        <v>2</v>
      </c>
      <c r="N35" s="669"/>
      <c r="P35" s="838"/>
      <c r="Q35" s="847"/>
      <c r="R35" s="891" t="s">
        <v>1014</v>
      </c>
      <c r="S35" s="832">
        <v>1064</v>
      </c>
      <c r="T35" s="833">
        <v>0</v>
      </c>
      <c r="U35" s="834">
        <f>ROUND((V34-U34)/(V33-U33)*(AD35-U33)+U34,1)</f>
        <v>0</v>
      </c>
      <c r="V35" s="834">
        <f>ROUND((W34-V34)/(W33-V33)*(AD35-V33)+V34,1)</f>
        <v>-0.8</v>
      </c>
      <c r="W35" s="834">
        <f>ROUND((X34-W34)/(X33-W33)*(AD35-W33)+W34,1)</f>
        <v>6.7</v>
      </c>
      <c r="X35" s="834">
        <f>ROUND((Y34-X34)/(Y33-X33)*(AD35-X33)+X34,1)</f>
        <v>-4.7</v>
      </c>
      <c r="Y35" s="892"/>
      <c r="Z35" s="836"/>
      <c r="AA35" s="836"/>
      <c r="AB35" s="835"/>
      <c r="AC35" s="901"/>
      <c r="AD35" s="73">
        <f>'比準演算'!AC7/'比準演算'!AB7</f>
        <v>2.326530612244898</v>
      </c>
      <c r="AE35" s="56" t="s">
        <v>41</v>
      </c>
      <c r="AF35" s="68"/>
      <c r="AG35" s="74" t="s">
        <v>262</v>
      </c>
    </row>
    <row r="36" spans="1:32" ht="18.75" customHeight="1" thickBot="1">
      <c r="A36" s="653">
        <f t="shared" si="2"/>
        <v>7</v>
      </c>
      <c r="B36" s="651">
        <v>7</v>
      </c>
      <c r="C36" s="654">
        <f t="shared" si="3"/>
        <v>2.5</v>
      </c>
      <c r="D36" s="631"/>
      <c r="E36" s="563"/>
      <c r="F36" s="653">
        <f t="shared" si="4"/>
        <v>7</v>
      </c>
      <c r="G36" s="651">
        <v>7</v>
      </c>
      <c r="H36" s="654">
        <f t="shared" si="5"/>
        <v>2.5</v>
      </c>
      <c r="I36" s="563"/>
      <c r="J36" s="563"/>
      <c r="K36" s="656">
        <v>2</v>
      </c>
      <c r="L36" s="657" t="s">
        <v>732</v>
      </c>
      <c r="M36" s="617">
        <v>1</v>
      </c>
      <c r="N36" s="669"/>
      <c r="P36" s="902"/>
      <c r="Q36" s="903"/>
      <c r="R36" s="904" t="s">
        <v>1220</v>
      </c>
      <c r="S36" s="905">
        <v>1065</v>
      </c>
      <c r="T36" s="906">
        <v>0</v>
      </c>
      <c r="U36" s="907">
        <f>ROUND((V34-U34)/(V33-U33)*(AD36-U33)+U34,1)</f>
        <v>4.5</v>
      </c>
      <c r="V36" s="907">
        <f>ROUND((W34-V34)/(W33-V33)*(AD36-V33)+V34,1)</f>
        <v>2.3</v>
      </c>
      <c r="W36" s="907">
        <f>ROUND((X34-W34)/(X33-W33)*(AD36-W33)+W34,1)</f>
        <v>15.6</v>
      </c>
      <c r="X36" s="907">
        <f>ROUND((Y34-X34)/(Y33-X33)*(AD36-X33)+X34,1)</f>
        <v>-1.8</v>
      </c>
      <c r="Y36" s="908"/>
      <c r="Z36" s="908"/>
      <c r="AA36" s="908"/>
      <c r="AB36" s="909"/>
      <c r="AC36" s="910"/>
      <c r="AD36" s="73">
        <f>'比準演算'!AC3/'比準演算'!AB3</f>
        <v>0.9057971014492753</v>
      </c>
      <c r="AE36" s="56" t="s">
        <v>42</v>
      </c>
      <c r="AF36" s="68"/>
    </row>
    <row r="37" spans="1:37" ht="18.75" customHeight="1" thickBot="1" thickTop="1">
      <c r="A37" s="661">
        <f t="shared" si="2"/>
        <v>8</v>
      </c>
      <c r="B37" s="659">
        <v>8</v>
      </c>
      <c r="C37" s="662">
        <f t="shared" si="3"/>
        <v>3</v>
      </c>
      <c r="D37" s="631"/>
      <c r="E37" s="563"/>
      <c r="F37" s="661">
        <f t="shared" si="4"/>
        <v>8</v>
      </c>
      <c r="G37" s="659">
        <v>8</v>
      </c>
      <c r="H37" s="662">
        <f>C26</f>
        <v>3</v>
      </c>
      <c r="I37" s="563"/>
      <c r="J37" s="563"/>
      <c r="K37" s="656">
        <v>3</v>
      </c>
      <c r="L37" s="657" t="s">
        <v>43</v>
      </c>
      <c r="M37" s="617">
        <v>1.5</v>
      </c>
      <c r="N37" s="669"/>
      <c r="O37" s="75"/>
      <c r="P37" s="911" t="s">
        <v>951</v>
      </c>
      <c r="Q37" s="912"/>
      <c r="R37" s="560"/>
      <c r="S37" s="560"/>
      <c r="T37" s="913"/>
      <c r="U37" s="913"/>
      <c r="V37" s="913"/>
      <c r="W37" s="913"/>
      <c r="X37" s="913"/>
      <c r="Y37" s="800"/>
      <c r="Z37" s="800"/>
      <c r="AA37" s="800"/>
      <c r="AB37" s="560"/>
      <c r="AC37" s="560"/>
      <c r="AD37" s="63"/>
      <c r="AE37" s="64"/>
      <c r="AF37" s="63"/>
      <c r="AG37" s="61"/>
      <c r="AH37" s="61"/>
      <c r="AI37" s="61"/>
      <c r="AJ37" s="61"/>
      <c r="AK37" s="61"/>
    </row>
    <row r="38" spans="1:37" ht="18.75" customHeight="1" thickBot="1" thickTop="1">
      <c r="A38" s="1885"/>
      <c r="B38" s="1886"/>
      <c r="C38" s="1887"/>
      <c r="D38" s="631"/>
      <c r="E38" s="563"/>
      <c r="F38" s="1885"/>
      <c r="G38" s="1886"/>
      <c r="H38" s="1887"/>
      <c r="I38" s="563"/>
      <c r="J38" s="563"/>
      <c r="K38" s="656">
        <v>4</v>
      </c>
      <c r="L38" s="657" t="s">
        <v>96</v>
      </c>
      <c r="M38" s="617">
        <v>2</v>
      </c>
      <c r="N38" s="669"/>
      <c r="O38" s="76"/>
      <c r="P38" s="799" t="s">
        <v>303</v>
      </c>
      <c r="Q38" s="799"/>
      <c r="R38" s="1970" t="str">
        <f>A4</f>
        <v>一般住宅地</v>
      </c>
      <c r="S38" s="1970"/>
      <c r="T38" s="1970"/>
      <c r="U38" s="799"/>
      <c r="V38" s="799"/>
      <c r="W38" s="799"/>
      <c r="X38" s="799"/>
      <c r="Y38" s="799"/>
      <c r="Z38" s="800"/>
      <c r="AA38" s="1978" t="str">
        <f>"鑑第岐 "&amp;'評価書作成'!B13&amp;" 号"</f>
        <v>鑑第岐 99999 号</v>
      </c>
      <c r="AB38" s="1978"/>
      <c r="AC38" s="560" t="s">
        <v>1233</v>
      </c>
      <c r="AD38" s="63"/>
      <c r="AE38" s="63"/>
      <c r="AF38" s="63"/>
      <c r="AH38" s="61"/>
      <c r="AI38" s="61"/>
      <c r="AJ38" s="61"/>
      <c r="AK38" s="61"/>
    </row>
    <row r="39" spans="1:37" ht="18.75" customHeight="1" thickBot="1" thickTop="1">
      <c r="A39" s="563" t="s">
        <v>389</v>
      </c>
      <c r="B39" s="585" t="s">
        <v>995</v>
      </c>
      <c r="C39" s="670" t="s">
        <v>1234</v>
      </c>
      <c r="D39" s="671">
        <f>'評価書作成'!D30</f>
        <v>12</v>
      </c>
      <c r="E39" s="588"/>
      <c r="F39" s="561" t="s">
        <v>673</v>
      </c>
      <c r="G39" s="589" t="s">
        <v>995</v>
      </c>
      <c r="H39" s="672" t="s">
        <v>1234</v>
      </c>
      <c r="I39" s="673">
        <f>'評価書作成'!F30</f>
        <v>20</v>
      </c>
      <c r="J39" s="561"/>
      <c r="K39" s="674">
        <v>5</v>
      </c>
      <c r="L39" s="675" t="s">
        <v>44</v>
      </c>
      <c r="M39" s="676">
        <v>3</v>
      </c>
      <c r="N39" s="669"/>
      <c r="O39" s="71"/>
      <c r="P39" s="801" t="s">
        <v>298</v>
      </c>
      <c r="Q39" s="802" t="s">
        <v>972</v>
      </c>
      <c r="R39" s="802" t="s">
        <v>973</v>
      </c>
      <c r="S39" s="803" t="s">
        <v>663</v>
      </c>
      <c r="T39" s="804" t="s">
        <v>299</v>
      </c>
      <c r="U39" s="805"/>
      <c r="V39" s="805"/>
      <c r="W39" s="805"/>
      <c r="X39" s="805"/>
      <c r="Y39" s="805"/>
      <c r="Z39" s="805"/>
      <c r="AA39" s="805"/>
      <c r="AB39" s="805"/>
      <c r="AC39" s="806"/>
      <c r="AD39" s="65" t="s">
        <v>721</v>
      </c>
      <c r="AE39" s="66"/>
      <c r="AF39" s="66"/>
      <c r="AH39" s="61"/>
      <c r="AI39" s="61"/>
      <c r="AJ39" s="61"/>
      <c r="AK39" s="61"/>
    </row>
    <row r="40" spans="1:37" ht="18.75" customHeight="1" thickBot="1" thickTop="1">
      <c r="A40" s="591" t="s">
        <v>1028</v>
      </c>
      <c r="B40" s="677" t="s">
        <v>601</v>
      </c>
      <c r="C40" s="678" t="s">
        <v>1001</v>
      </c>
      <c r="D40" s="679" t="s">
        <v>1029</v>
      </c>
      <c r="E40" s="563"/>
      <c r="F40" s="591" t="s">
        <v>1030</v>
      </c>
      <c r="G40" s="592" t="s">
        <v>601</v>
      </c>
      <c r="H40" s="593" t="s">
        <v>1001</v>
      </c>
      <c r="I40" s="593" t="s">
        <v>1029</v>
      </c>
      <c r="J40" s="563"/>
      <c r="K40" s="666">
        <v>6</v>
      </c>
      <c r="L40" s="667" t="s">
        <v>1046</v>
      </c>
      <c r="M40" s="680">
        <v>0</v>
      </c>
      <c r="N40" s="669"/>
      <c r="O40" s="70"/>
      <c r="P40" s="807" t="s">
        <v>423</v>
      </c>
      <c r="Q40" s="1961" t="s">
        <v>651</v>
      </c>
      <c r="R40" s="914" t="s">
        <v>585</v>
      </c>
      <c r="S40" s="815">
        <v>1071</v>
      </c>
      <c r="T40" s="915" t="s">
        <v>640</v>
      </c>
      <c r="U40" s="916" t="s">
        <v>640</v>
      </c>
      <c r="V40" s="916" t="s">
        <v>640</v>
      </c>
      <c r="W40" s="916" t="s">
        <v>640</v>
      </c>
      <c r="X40" s="916" t="s">
        <v>727</v>
      </c>
      <c r="Y40" s="916" t="s">
        <v>819</v>
      </c>
      <c r="Z40" s="916" t="s">
        <v>956</v>
      </c>
      <c r="AA40" s="916" t="s">
        <v>669</v>
      </c>
      <c r="AB40" s="916" t="s">
        <v>669</v>
      </c>
      <c r="AC40" s="813"/>
      <c r="AD40" s="77"/>
      <c r="AE40" s="78"/>
      <c r="AF40" s="78"/>
      <c r="AH40" s="61"/>
      <c r="AI40" s="61"/>
      <c r="AJ40" s="61"/>
      <c r="AK40" s="61"/>
    </row>
    <row r="41" spans="1:37" ht="18.75" customHeight="1" thickTop="1">
      <c r="A41" s="650">
        <v>0</v>
      </c>
      <c r="B41" s="599">
        <v>5</v>
      </c>
      <c r="C41" s="681">
        <v>-10</v>
      </c>
      <c r="D41" s="682"/>
      <c r="E41" s="563"/>
      <c r="F41" s="650">
        <v>0</v>
      </c>
      <c r="G41" s="599">
        <v>1</v>
      </c>
      <c r="H41" s="600">
        <v>0</v>
      </c>
      <c r="I41" s="683"/>
      <c r="J41" s="563"/>
      <c r="K41" s="684" t="s">
        <v>1308</v>
      </c>
      <c r="L41" s="568"/>
      <c r="M41" s="631"/>
      <c r="N41" s="669"/>
      <c r="O41" s="70"/>
      <c r="P41" s="814" t="s">
        <v>1055</v>
      </c>
      <c r="Q41" s="1962"/>
      <c r="R41" s="917" t="s">
        <v>184</v>
      </c>
      <c r="S41" s="856">
        <v>1072</v>
      </c>
      <c r="T41" s="918" t="str">
        <f>L21</f>
        <v>　</v>
      </c>
      <c r="U41" s="899" t="str">
        <f>L22</f>
        <v>ほぼ正方形</v>
      </c>
      <c r="V41" s="899" t="str">
        <f>L23</f>
        <v>ほぼ長方形</v>
      </c>
      <c r="W41" s="899" t="str">
        <f>L24</f>
        <v>ほぼ整形</v>
      </c>
      <c r="X41" s="899" t="str">
        <f>L25</f>
        <v>やや不整形</v>
      </c>
      <c r="Y41" s="878" t="str">
        <f>L26</f>
        <v>不整形</v>
      </c>
      <c r="Z41" s="878" t="str">
        <f>L27</f>
        <v>特に不整形</v>
      </c>
      <c r="AA41" s="878" t="str">
        <f>L28</f>
        <v>　</v>
      </c>
      <c r="AB41" s="862" t="str">
        <f>L29</f>
        <v>　</v>
      </c>
      <c r="AC41" s="863"/>
      <c r="AD41" s="67"/>
      <c r="AE41" s="68"/>
      <c r="AF41" s="68"/>
      <c r="AH41" s="61"/>
      <c r="AI41" s="61"/>
      <c r="AJ41" s="61"/>
      <c r="AK41" s="61"/>
    </row>
    <row r="42" spans="1:37" ht="18.75" customHeight="1">
      <c r="A42" s="650">
        <f>ROUND(D42*D39,1)</f>
        <v>3.6</v>
      </c>
      <c r="B42" s="599">
        <v>4</v>
      </c>
      <c r="C42" s="685">
        <v>-7</v>
      </c>
      <c r="D42" s="686">
        <v>0.3</v>
      </c>
      <c r="E42" s="563"/>
      <c r="F42" s="650">
        <f>ROUND(I42*I39,1)</f>
        <v>30</v>
      </c>
      <c r="G42" s="599">
        <v>2</v>
      </c>
      <c r="H42" s="687">
        <v>-0.5</v>
      </c>
      <c r="I42" s="688">
        <v>1.5</v>
      </c>
      <c r="J42" s="689"/>
      <c r="K42" s="690" t="s">
        <v>45</v>
      </c>
      <c r="L42" s="691"/>
      <c r="M42" s="692"/>
      <c r="N42" s="669"/>
      <c r="O42" s="70"/>
      <c r="P42" s="838"/>
      <c r="Q42" s="847"/>
      <c r="R42" s="919"/>
      <c r="S42" s="880">
        <v>1073</v>
      </c>
      <c r="T42" s="920">
        <f>M21</f>
        <v>0</v>
      </c>
      <c r="U42" s="921">
        <f>M22</f>
        <v>0</v>
      </c>
      <c r="V42" s="921">
        <f>M23</f>
        <v>0</v>
      </c>
      <c r="W42" s="921">
        <f>M24</f>
        <v>0</v>
      </c>
      <c r="X42" s="921">
        <f>M25</f>
        <v>-2</v>
      </c>
      <c r="Y42" s="883">
        <f>M26</f>
        <v>-5</v>
      </c>
      <c r="Z42" s="883">
        <f>M27</f>
        <v>-10</v>
      </c>
      <c r="AA42" s="883" t="s">
        <v>669</v>
      </c>
      <c r="AB42" s="883" t="s">
        <v>669</v>
      </c>
      <c r="AC42" s="884"/>
      <c r="AD42" s="67"/>
      <c r="AE42" s="68"/>
      <c r="AF42" s="68"/>
      <c r="AH42" s="61"/>
      <c r="AI42" s="61"/>
      <c r="AJ42" s="61"/>
      <c r="AK42" s="61"/>
    </row>
    <row r="43" spans="1:32" ht="18.75" customHeight="1">
      <c r="A43" s="650">
        <f>ROUND(D43*D39,1)</f>
        <v>4.8</v>
      </c>
      <c r="B43" s="599">
        <v>3</v>
      </c>
      <c r="C43" s="685">
        <v>-5</v>
      </c>
      <c r="D43" s="686">
        <v>0.4</v>
      </c>
      <c r="E43" s="563"/>
      <c r="F43" s="650">
        <f>ROUND(I43*I39,1)</f>
        <v>40</v>
      </c>
      <c r="G43" s="599">
        <v>3</v>
      </c>
      <c r="H43" s="693">
        <v>-5</v>
      </c>
      <c r="I43" s="694">
        <v>2</v>
      </c>
      <c r="J43" s="563"/>
      <c r="K43" s="684" t="s">
        <v>46</v>
      </c>
      <c r="L43" s="568"/>
      <c r="M43" s="631"/>
      <c r="N43" s="669"/>
      <c r="O43" s="70"/>
      <c r="P43" s="922" t="s">
        <v>182</v>
      </c>
      <c r="Q43" s="1964" t="s">
        <v>1142</v>
      </c>
      <c r="R43" s="848" t="s">
        <v>499</v>
      </c>
      <c r="S43" s="856">
        <v>1101</v>
      </c>
      <c r="T43" s="851" t="s">
        <v>640</v>
      </c>
      <c r="U43" s="851" t="s">
        <v>467</v>
      </c>
      <c r="V43" s="851" t="s">
        <v>616</v>
      </c>
      <c r="W43" s="851" t="s">
        <v>640</v>
      </c>
      <c r="X43" s="851" t="s">
        <v>640</v>
      </c>
      <c r="Y43" s="851" t="s">
        <v>616</v>
      </c>
      <c r="Z43" s="851" t="s">
        <v>616</v>
      </c>
      <c r="AA43" s="851" t="s">
        <v>640</v>
      </c>
      <c r="AB43" s="851" t="s">
        <v>640</v>
      </c>
      <c r="AC43" s="854"/>
      <c r="AD43" s="67"/>
      <c r="AE43" s="68"/>
      <c r="AF43" s="68"/>
    </row>
    <row r="44" spans="1:32" ht="18.75" customHeight="1">
      <c r="A44" s="650">
        <f>ROUND(D44*D39,1)</f>
        <v>6</v>
      </c>
      <c r="B44" s="599">
        <v>2</v>
      </c>
      <c r="C44" s="695">
        <v>-0.5</v>
      </c>
      <c r="D44" s="696">
        <v>0.5</v>
      </c>
      <c r="E44" s="689"/>
      <c r="F44" s="697">
        <f>ROUND(I44*I39,1)</f>
        <v>50</v>
      </c>
      <c r="G44" s="698">
        <v>4</v>
      </c>
      <c r="H44" s="699">
        <v>-10</v>
      </c>
      <c r="I44" s="688">
        <v>2.5</v>
      </c>
      <c r="J44" s="689"/>
      <c r="K44" s="691"/>
      <c r="L44" s="691"/>
      <c r="M44" s="692"/>
      <c r="N44" s="669"/>
      <c r="O44" s="70"/>
      <c r="P44" s="922" t="s">
        <v>182</v>
      </c>
      <c r="Q44" s="1965"/>
      <c r="R44" s="873" t="s">
        <v>184</v>
      </c>
      <c r="S44" s="856">
        <v>1102</v>
      </c>
      <c r="T44" s="874" t="str">
        <f>L8</f>
        <v>　</v>
      </c>
      <c r="U44" s="875" t="str">
        <f>L9</f>
        <v>東</v>
      </c>
      <c r="V44" s="875" t="str">
        <f>L10</f>
        <v>南</v>
      </c>
      <c r="W44" s="875" t="str">
        <f>L11</f>
        <v>西</v>
      </c>
      <c r="X44" s="876" t="str">
        <f>L12</f>
        <v>北</v>
      </c>
      <c r="Y44" s="877" t="str">
        <f>L13</f>
        <v>南東</v>
      </c>
      <c r="Z44" s="877" t="str">
        <f>L14</f>
        <v>南西</v>
      </c>
      <c r="AA44" s="878" t="str">
        <f>L15</f>
        <v>北西</v>
      </c>
      <c r="AB44" s="862" t="str">
        <f>L16</f>
        <v>北東</v>
      </c>
      <c r="AC44" s="863"/>
      <c r="AD44" s="67"/>
      <c r="AE44" s="68"/>
      <c r="AF44" s="68"/>
    </row>
    <row r="45" spans="1:32" ht="18.75" customHeight="1" thickBot="1">
      <c r="A45" s="658">
        <f>ROUND(D45*D39,1)</f>
        <v>7.2</v>
      </c>
      <c r="B45" s="619">
        <v>1</v>
      </c>
      <c r="C45" s="700">
        <v>0</v>
      </c>
      <c r="D45" s="701">
        <v>0.6</v>
      </c>
      <c r="E45" s="563"/>
      <c r="F45" s="658">
        <f>ROUND(I45*I39,1)</f>
        <v>60</v>
      </c>
      <c r="G45" s="619">
        <v>5</v>
      </c>
      <c r="H45" s="702">
        <v>-30</v>
      </c>
      <c r="I45" s="703">
        <v>3</v>
      </c>
      <c r="J45" s="563"/>
      <c r="K45" s="568" t="s">
        <v>1148</v>
      </c>
      <c r="L45" s="568"/>
      <c r="M45" s="568"/>
      <c r="N45" s="663"/>
      <c r="P45" s="838"/>
      <c r="Q45" s="847"/>
      <c r="R45" s="917" t="s">
        <v>1047</v>
      </c>
      <c r="S45" s="880">
        <v>1103</v>
      </c>
      <c r="T45" s="881">
        <f>M8</f>
        <v>0</v>
      </c>
      <c r="U45" s="882">
        <f>M9</f>
        <v>1</v>
      </c>
      <c r="V45" s="882">
        <f>M10</f>
        <v>2</v>
      </c>
      <c r="W45" s="882">
        <f>M11</f>
        <v>0</v>
      </c>
      <c r="X45" s="882">
        <f>M12</f>
        <v>0</v>
      </c>
      <c r="Y45" s="883">
        <f>M13</f>
        <v>2</v>
      </c>
      <c r="Z45" s="883">
        <f>M14</f>
        <v>1</v>
      </c>
      <c r="AA45" s="883">
        <f>M15</f>
        <v>0</v>
      </c>
      <c r="AB45" s="883">
        <f>M16</f>
        <v>0</v>
      </c>
      <c r="AC45" s="884"/>
      <c r="AD45" s="67"/>
      <c r="AE45" s="68"/>
      <c r="AF45" s="68"/>
    </row>
    <row r="46" spans="1:32" ht="18.75" customHeight="1" thickBot="1" thickTop="1">
      <c r="A46" s="704">
        <v>0</v>
      </c>
      <c r="B46" s="705" t="s">
        <v>277</v>
      </c>
      <c r="C46" s="706">
        <v>-20</v>
      </c>
      <c r="D46" s="707"/>
      <c r="E46" s="689"/>
      <c r="F46" s="708">
        <v>500</v>
      </c>
      <c r="G46" s="709" t="s">
        <v>277</v>
      </c>
      <c r="H46" s="706">
        <v>-40</v>
      </c>
      <c r="I46" s="710"/>
      <c r="J46" s="689"/>
      <c r="K46" s="711" t="s">
        <v>1217</v>
      </c>
      <c r="L46" s="712" t="s">
        <v>1076</v>
      </c>
      <c r="M46" s="713" t="s">
        <v>1001</v>
      </c>
      <c r="N46" s="714"/>
      <c r="P46" s="838"/>
      <c r="Q46" s="1969" t="s">
        <v>77</v>
      </c>
      <c r="R46" s="848" t="s">
        <v>392</v>
      </c>
      <c r="S46" s="849">
        <v>1111</v>
      </c>
      <c r="T46" s="850" t="s">
        <v>819</v>
      </c>
      <c r="U46" s="851" t="s">
        <v>819</v>
      </c>
      <c r="V46" s="851" t="s">
        <v>727</v>
      </c>
      <c r="W46" s="851" t="s">
        <v>727</v>
      </c>
      <c r="X46" s="851" t="s">
        <v>640</v>
      </c>
      <c r="Y46" s="851" t="s">
        <v>467</v>
      </c>
      <c r="Z46" s="851" t="s">
        <v>616</v>
      </c>
      <c r="AA46" s="851" t="s">
        <v>846</v>
      </c>
      <c r="AB46" s="853"/>
      <c r="AC46" s="854"/>
      <c r="AD46" s="67"/>
      <c r="AE46" s="68"/>
      <c r="AF46" s="68"/>
    </row>
    <row r="47" spans="1:32" ht="18.75" customHeight="1" thickTop="1">
      <c r="A47" s="584" t="s">
        <v>894</v>
      </c>
      <c r="B47" s="585"/>
      <c r="C47" s="586"/>
      <c r="D47" s="586"/>
      <c r="E47" s="563"/>
      <c r="F47" s="584" t="s">
        <v>894</v>
      </c>
      <c r="G47" s="585"/>
      <c r="H47" s="586"/>
      <c r="I47" s="586"/>
      <c r="J47" s="563"/>
      <c r="K47" s="656">
        <v>0</v>
      </c>
      <c r="L47" s="657" t="s">
        <v>967</v>
      </c>
      <c r="M47" s="617"/>
      <c r="N47" s="663"/>
      <c r="O47" s="64"/>
      <c r="P47" s="838"/>
      <c r="Q47" s="1969"/>
      <c r="R47" s="917" t="s">
        <v>78</v>
      </c>
      <c r="S47" s="856">
        <v>1112</v>
      </c>
      <c r="T47" s="923">
        <f>A20</f>
        <v>2</v>
      </c>
      <c r="U47" s="924">
        <f>A20</f>
        <v>2</v>
      </c>
      <c r="V47" s="924">
        <f>A21</f>
        <v>3</v>
      </c>
      <c r="W47" s="924">
        <f>A22</f>
        <v>4</v>
      </c>
      <c r="X47" s="924">
        <f>A23</f>
        <v>5</v>
      </c>
      <c r="Y47" s="924">
        <f>A24</f>
        <v>6</v>
      </c>
      <c r="Z47" s="924">
        <f>A25</f>
        <v>7</v>
      </c>
      <c r="AA47" s="924">
        <f>A26</f>
        <v>8</v>
      </c>
      <c r="AB47" s="924" t="s">
        <v>997</v>
      </c>
      <c r="AC47" s="863"/>
      <c r="AD47" s="67"/>
      <c r="AE47" s="68"/>
      <c r="AF47" s="68"/>
    </row>
    <row r="48" spans="1:34" ht="18.75" customHeight="1" thickBot="1">
      <c r="A48" s="584"/>
      <c r="B48" s="585"/>
      <c r="C48" s="586"/>
      <c r="D48" s="586"/>
      <c r="E48" s="563"/>
      <c r="F48" s="584"/>
      <c r="G48" s="585"/>
      <c r="H48" s="586"/>
      <c r="I48" s="586"/>
      <c r="J48" s="563"/>
      <c r="K48" s="656">
        <v>1</v>
      </c>
      <c r="L48" s="657" t="s">
        <v>296</v>
      </c>
      <c r="M48" s="617"/>
      <c r="N48" s="663"/>
      <c r="O48" s="72"/>
      <c r="P48" s="838"/>
      <c r="Q48" s="1969"/>
      <c r="R48" s="879"/>
      <c r="S48" s="880">
        <v>1113</v>
      </c>
      <c r="T48" s="925">
        <f>C19</f>
        <v>0</v>
      </c>
      <c r="U48" s="926">
        <f>C20</f>
        <v>0.6</v>
      </c>
      <c r="V48" s="926">
        <f>C21</f>
        <v>0.8</v>
      </c>
      <c r="W48" s="926">
        <f>C22</f>
        <v>1</v>
      </c>
      <c r="X48" s="926">
        <f>C23</f>
        <v>1.5</v>
      </c>
      <c r="Y48" s="927">
        <f>C24</f>
        <v>2</v>
      </c>
      <c r="Z48" s="927">
        <f>C25</f>
        <v>2.5</v>
      </c>
      <c r="AA48" s="927">
        <f>C26</f>
        <v>3</v>
      </c>
      <c r="AB48" s="928"/>
      <c r="AC48" s="884"/>
      <c r="AD48" s="67"/>
      <c r="AE48" s="68"/>
      <c r="AF48" s="68"/>
      <c r="AH48" s="61"/>
    </row>
    <row r="49" spans="1:34" ht="18.75" customHeight="1" thickBot="1" thickTop="1">
      <c r="A49" s="563" t="s">
        <v>407</v>
      </c>
      <c r="B49" s="585" t="s">
        <v>995</v>
      </c>
      <c r="C49" s="670" t="s">
        <v>1234</v>
      </c>
      <c r="D49" s="671">
        <f>'評価書作成'!F30</f>
        <v>20</v>
      </c>
      <c r="E49" s="588" t="s">
        <v>669</v>
      </c>
      <c r="F49" s="561" t="s">
        <v>162</v>
      </c>
      <c r="G49" s="589" t="s">
        <v>995</v>
      </c>
      <c r="H49" s="672" t="s">
        <v>1234</v>
      </c>
      <c r="I49" s="715">
        <f>'評価書作成'!F30/'評価書作成'!D30</f>
        <v>1.6666666666666667</v>
      </c>
      <c r="J49" s="561"/>
      <c r="K49" s="674">
        <v>2</v>
      </c>
      <c r="L49" s="675" t="s">
        <v>1323</v>
      </c>
      <c r="M49" s="676"/>
      <c r="N49" s="663"/>
      <c r="O49" s="72"/>
      <c r="P49" s="838"/>
      <c r="Q49" s="1969"/>
      <c r="R49" s="848" t="s">
        <v>1322</v>
      </c>
      <c r="S49" s="856">
        <v>1121</v>
      </c>
      <c r="T49" s="851" t="s">
        <v>640</v>
      </c>
      <c r="U49" s="851" t="s">
        <v>467</v>
      </c>
      <c r="V49" s="851" t="s">
        <v>616</v>
      </c>
      <c r="W49" s="851" t="s">
        <v>640</v>
      </c>
      <c r="X49" s="851" t="s">
        <v>640</v>
      </c>
      <c r="Y49" s="851" t="s">
        <v>616</v>
      </c>
      <c r="Z49" s="851" t="s">
        <v>616</v>
      </c>
      <c r="AA49" s="851" t="s">
        <v>640</v>
      </c>
      <c r="AB49" s="853" t="s">
        <v>640</v>
      </c>
      <c r="AC49" s="854"/>
      <c r="AD49" s="67"/>
      <c r="AE49" s="68"/>
      <c r="AF49" s="68"/>
      <c r="AH49" s="61"/>
    </row>
    <row r="50" spans="1:32" ht="18.75" customHeight="1" thickTop="1">
      <c r="A50" s="591" t="s">
        <v>1030</v>
      </c>
      <c r="B50" s="592" t="s">
        <v>601</v>
      </c>
      <c r="C50" s="593" t="s">
        <v>1001</v>
      </c>
      <c r="D50" s="593" t="s">
        <v>1029</v>
      </c>
      <c r="E50" s="588"/>
      <c r="F50" s="716" t="s">
        <v>1030</v>
      </c>
      <c r="G50" s="717" t="s">
        <v>601</v>
      </c>
      <c r="H50" s="718" t="s">
        <v>1001</v>
      </c>
      <c r="I50" s="718" t="s">
        <v>1029</v>
      </c>
      <c r="J50" s="644"/>
      <c r="K50" s="674">
        <v>3</v>
      </c>
      <c r="L50" s="675" t="s">
        <v>689</v>
      </c>
      <c r="M50" s="676"/>
      <c r="N50" s="663"/>
      <c r="O50" s="72"/>
      <c r="P50" s="838"/>
      <c r="Q50" s="1969"/>
      <c r="R50" s="873" t="s">
        <v>184</v>
      </c>
      <c r="S50" s="856">
        <v>1122</v>
      </c>
      <c r="T50" s="874" t="str">
        <f>L8</f>
        <v>　</v>
      </c>
      <c r="U50" s="875" t="str">
        <f>L9</f>
        <v>東</v>
      </c>
      <c r="V50" s="875" t="str">
        <f>L10</f>
        <v>南</v>
      </c>
      <c r="W50" s="875" t="str">
        <f>L11</f>
        <v>西</v>
      </c>
      <c r="X50" s="876" t="str">
        <f>L12</f>
        <v>北</v>
      </c>
      <c r="Y50" s="877" t="str">
        <f>L13</f>
        <v>南東</v>
      </c>
      <c r="Z50" s="877" t="str">
        <f>L14</f>
        <v>南西</v>
      </c>
      <c r="AA50" s="878" t="str">
        <f>L15</f>
        <v>北西</v>
      </c>
      <c r="AB50" s="862" t="str">
        <f>L16</f>
        <v>北東</v>
      </c>
      <c r="AC50" s="863"/>
      <c r="AD50" s="67"/>
      <c r="AE50" s="68"/>
      <c r="AF50" s="68"/>
    </row>
    <row r="51" spans="1:32" ht="18.75" customHeight="1">
      <c r="A51" s="650">
        <v>0</v>
      </c>
      <c r="B51" s="335">
        <v>5</v>
      </c>
      <c r="C51" s="683">
        <v>-10</v>
      </c>
      <c r="D51" s="683"/>
      <c r="E51" s="563"/>
      <c r="F51" s="719">
        <v>0</v>
      </c>
      <c r="G51" s="335">
        <v>1</v>
      </c>
      <c r="H51" s="600">
        <v>0</v>
      </c>
      <c r="I51" s="683"/>
      <c r="J51" s="568"/>
      <c r="K51" s="656">
        <v>4</v>
      </c>
      <c r="L51" s="657" t="s">
        <v>419</v>
      </c>
      <c r="M51" s="617"/>
      <c r="O51" s="72"/>
      <c r="P51" s="838"/>
      <c r="Q51" s="1969"/>
      <c r="R51" s="929" t="s">
        <v>669</v>
      </c>
      <c r="S51" s="880">
        <v>1123</v>
      </c>
      <c r="T51" s="881">
        <f>M8</f>
        <v>0</v>
      </c>
      <c r="U51" s="882">
        <f>M9</f>
        <v>1</v>
      </c>
      <c r="V51" s="882">
        <f>M10</f>
        <v>2</v>
      </c>
      <c r="W51" s="882">
        <f>M11</f>
        <v>0</v>
      </c>
      <c r="X51" s="882">
        <f>M12</f>
        <v>0</v>
      </c>
      <c r="Y51" s="883">
        <f>M13</f>
        <v>2</v>
      </c>
      <c r="Z51" s="883">
        <f>M14</f>
        <v>1</v>
      </c>
      <c r="AA51" s="883">
        <f>M15</f>
        <v>0</v>
      </c>
      <c r="AB51" s="883">
        <f>M16</f>
        <v>0</v>
      </c>
      <c r="AC51" s="884"/>
      <c r="AD51" s="67"/>
      <c r="AE51" s="68"/>
      <c r="AF51" s="68"/>
    </row>
    <row r="52" spans="1:32" ht="18.75" customHeight="1">
      <c r="A52" s="650">
        <f>ROUND(D52*D49,1)</f>
        <v>4</v>
      </c>
      <c r="B52" s="335">
        <v>4</v>
      </c>
      <c r="C52" s="693">
        <v>-5</v>
      </c>
      <c r="D52" s="694">
        <v>0.2</v>
      </c>
      <c r="E52" s="563"/>
      <c r="F52" s="720">
        <f>ROUND(I52*I49,1)</f>
        <v>2.5</v>
      </c>
      <c r="G52" s="335">
        <v>2</v>
      </c>
      <c r="H52" s="687">
        <v>-0.5</v>
      </c>
      <c r="I52" s="688">
        <v>1.5</v>
      </c>
      <c r="J52" s="691"/>
      <c r="K52" s="721">
        <v>5</v>
      </c>
      <c r="L52" s="722" t="s">
        <v>698</v>
      </c>
      <c r="M52" s="723"/>
      <c r="O52" s="72"/>
      <c r="P52" s="838"/>
      <c r="Q52" s="1969"/>
      <c r="R52" s="848" t="s">
        <v>1154</v>
      </c>
      <c r="S52" s="849">
        <v>1131</v>
      </c>
      <c r="T52" s="850" t="s">
        <v>819</v>
      </c>
      <c r="U52" s="851" t="s">
        <v>819</v>
      </c>
      <c r="V52" s="851" t="s">
        <v>727</v>
      </c>
      <c r="W52" s="851" t="s">
        <v>727</v>
      </c>
      <c r="X52" s="851" t="s">
        <v>640</v>
      </c>
      <c r="Y52" s="851" t="s">
        <v>467</v>
      </c>
      <c r="Z52" s="851" t="s">
        <v>616</v>
      </c>
      <c r="AA52" s="851" t="s">
        <v>846</v>
      </c>
      <c r="AB52" s="853"/>
      <c r="AC52" s="854"/>
      <c r="AD52" s="67"/>
      <c r="AE52" s="68"/>
      <c r="AF52" s="68"/>
    </row>
    <row r="53" spans="1:32" ht="18.75" customHeight="1">
      <c r="A53" s="650">
        <f>ROUND(D53*D49,1)</f>
        <v>6</v>
      </c>
      <c r="B53" s="335">
        <v>3</v>
      </c>
      <c r="C53" s="693">
        <v>-3</v>
      </c>
      <c r="D53" s="694">
        <v>0.3</v>
      </c>
      <c r="E53" s="563"/>
      <c r="F53" s="720">
        <f>ROUND(I53*I49,1)</f>
        <v>3.3</v>
      </c>
      <c r="G53" s="335">
        <v>3</v>
      </c>
      <c r="H53" s="693">
        <v>-3</v>
      </c>
      <c r="I53" s="694">
        <v>2</v>
      </c>
      <c r="J53" s="568"/>
      <c r="K53" s="656">
        <v>6</v>
      </c>
      <c r="L53" s="657" t="s">
        <v>1321</v>
      </c>
      <c r="M53" s="617"/>
      <c r="N53" s="663"/>
      <c r="P53" s="838"/>
      <c r="Q53" s="1969"/>
      <c r="R53" s="929" t="s">
        <v>669</v>
      </c>
      <c r="S53" s="856">
        <v>1132</v>
      </c>
      <c r="T53" s="923">
        <f>F20</f>
        <v>2</v>
      </c>
      <c r="U53" s="924">
        <f>F20</f>
        <v>2</v>
      </c>
      <c r="V53" s="924">
        <f>F21</f>
        <v>3</v>
      </c>
      <c r="W53" s="924">
        <f>F22</f>
        <v>4</v>
      </c>
      <c r="X53" s="924">
        <f>F23</f>
        <v>5</v>
      </c>
      <c r="Y53" s="924">
        <f>F24</f>
        <v>6</v>
      </c>
      <c r="Z53" s="924">
        <f>F25</f>
        <v>7</v>
      </c>
      <c r="AA53" s="924">
        <f>F26</f>
        <v>8</v>
      </c>
      <c r="AB53" s="862"/>
      <c r="AC53" s="863"/>
      <c r="AD53" s="67"/>
      <c r="AE53" s="68"/>
      <c r="AF53" s="68"/>
    </row>
    <row r="54" spans="1:32" ht="18.75" customHeight="1" thickBot="1">
      <c r="A54" s="650">
        <f>ROUND(D54*D49,1)</f>
        <v>7</v>
      </c>
      <c r="B54" s="335">
        <v>2</v>
      </c>
      <c r="C54" s="687">
        <v>-0.5</v>
      </c>
      <c r="D54" s="688">
        <v>0.35</v>
      </c>
      <c r="E54" s="689"/>
      <c r="F54" s="724">
        <f>ROUND(I54*I49,1)</f>
        <v>4.2</v>
      </c>
      <c r="G54" s="725">
        <v>4</v>
      </c>
      <c r="H54" s="699">
        <v>-5</v>
      </c>
      <c r="I54" s="688">
        <v>2.5</v>
      </c>
      <c r="J54" s="691"/>
      <c r="K54" s="726">
        <v>7</v>
      </c>
      <c r="L54" s="727" t="s">
        <v>718</v>
      </c>
      <c r="M54" s="728"/>
      <c r="N54" s="663"/>
      <c r="P54" s="838"/>
      <c r="Q54" s="1969"/>
      <c r="R54" s="919"/>
      <c r="S54" s="880">
        <v>1133</v>
      </c>
      <c r="T54" s="930">
        <f>H19</f>
        <v>0</v>
      </c>
      <c r="U54" s="931">
        <f>H20</f>
        <v>0.6</v>
      </c>
      <c r="V54" s="931">
        <f>H21</f>
        <v>0.8</v>
      </c>
      <c r="W54" s="931">
        <f>H22</f>
        <v>1</v>
      </c>
      <c r="X54" s="931">
        <f>H23</f>
        <v>1.5</v>
      </c>
      <c r="Y54" s="932">
        <f>H24</f>
        <v>2</v>
      </c>
      <c r="Z54" s="932">
        <f>H25</f>
        <v>2.5</v>
      </c>
      <c r="AA54" s="932">
        <f>H26</f>
        <v>3</v>
      </c>
      <c r="AB54" s="928"/>
      <c r="AC54" s="884"/>
      <c r="AD54" s="67"/>
      <c r="AE54" s="68"/>
      <c r="AF54" s="68"/>
    </row>
    <row r="55" spans="1:32" ht="18.75" customHeight="1" thickBot="1" thickTop="1">
      <c r="A55" s="658">
        <f>ROUND(D55*D49,1)</f>
        <v>8</v>
      </c>
      <c r="B55" s="729">
        <v>1</v>
      </c>
      <c r="C55" s="730">
        <v>0</v>
      </c>
      <c r="D55" s="703">
        <v>0.4</v>
      </c>
      <c r="E55" s="563"/>
      <c r="F55" s="731">
        <f>ROUND(I55*I49,1)</f>
        <v>5</v>
      </c>
      <c r="G55" s="729">
        <v>5</v>
      </c>
      <c r="H55" s="702">
        <v>-10</v>
      </c>
      <c r="I55" s="703">
        <v>3</v>
      </c>
      <c r="J55" s="568"/>
      <c r="K55" s="563"/>
      <c r="L55" s="563"/>
      <c r="M55" s="563"/>
      <c r="N55" s="663"/>
      <c r="P55" s="922" t="s">
        <v>669</v>
      </c>
      <c r="Q55" s="1969"/>
      <c r="R55" s="879" t="s">
        <v>1143</v>
      </c>
      <c r="S55" s="856">
        <v>1141</v>
      </c>
      <c r="T55" s="851" t="s">
        <v>640</v>
      </c>
      <c r="U55" s="853" t="s">
        <v>467</v>
      </c>
      <c r="V55" s="853" t="s">
        <v>616</v>
      </c>
      <c r="W55" s="853" t="s">
        <v>640</v>
      </c>
      <c r="X55" s="853" t="s">
        <v>640</v>
      </c>
      <c r="Y55" s="853" t="s">
        <v>616</v>
      </c>
      <c r="Z55" s="853" t="s">
        <v>616</v>
      </c>
      <c r="AA55" s="853" t="s">
        <v>640</v>
      </c>
      <c r="AB55" s="853" t="s">
        <v>640</v>
      </c>
      <c r="AC55" s="854"/>
      <c r="AD55" s="67"/>
      <c r="AE55" s="68"/>
      <c r="AF55" s="68"/>
    </row>
    <row r="56" spans="1:32" ht="18.75" customHeight="1" thickBot="1" thickTop="1">
      <c r="A56" s="704">
        <v>0</v>
      </c>
      <c r="B56" s="705" t="s">
        <v>277</v>
      </c>
      <c r="C56" s="706">
        <v>-20</v>
      </c>
      <c r="D56" s="707"/>
      <c r="E56" s="689"/>
      <c r="F56" s="732">
        <v>10</v>
      </c>
      <c r="G56" s="733" t="s">
        <v>277</v>
      </c>
      <c r="H56" s="706">
        <v>-20</v>
      </c>
      <c r="I56" s="710"/>
      <c r="J56" s="691"/>
      <c r="K56" s="689"/>
      <c r="L56" s="689"/>
      <c r="M56" s="689"/>
      <c r="N56" s="663"/>
      <c r="O56" s="64"/>
      <c r="P56" s="838"/>
      <c r="Q56" s="1969"/>
      <c r="R56" s="873" t="s">
        <v>184</v>
      </c>
      <c r="S56" s="856">
        <v>1142</v>
      </c>
      <c r="T56" s="874" t="str">
        <f>L8</f>
        <v>　</v>
      </c>
      <c r="U56" s="875" t="str">
        <f>L9</f>
        <v>東</v>
      </c>
      <c r="V56" s="875" t="str">
        <f>L10</f>
        <v>南</v>
      </c>
      <c r="W56" s="875" t="str">
        <f>L11</f>
        <v>西</v>
      </c>
      <c r="X56" s="876" t="str">
        <f>L12</f>
        <v>北</v>
      </c>
      <c r="Y56" s="877" t="str">
        <f>L13</f>
        <v>南東</v>
      </c>
      <c r="Z56" s="877" t="str">
        <f>L14</f>
        <v>南西</v>
      </c>
      <c r="AA56" s="878" t="str">
        <f>L15</f>
        <v>北西</v>
      </c>
      <c r="AB56" s="933" t="str">
        <f>L16</f>
        <v>北東</v>
      </c>
      <c r="AC56" s="863"/>
      <c r="AD56" s="67"/>
      <c r="AE56" s="68"/>
      <c r="AF56" s="68"/>
    </row>
    <row r="57" spans="1:32" ht="18.75" customHeight="1" thickTop="1">
      <c r="A57" s="584" t="s">
        <v>894</v>
      </c>
      <c r="B57" s="585"/>
      <c r="C57" s="586"/>
      <c r="D57" s="586"/>
      <c r="E57" s="563"/>
      <c r="F57" s="584" t="s">
        <v>894</v>
      </c>
      <c r="G57" s="585"/>
      <c r="H57" s="586"/>
      <c r="I57" s="586"/>
      <c r="J57" s="568"/>
      <c r="K57" s="563"/>
      <c r="L57" s="563"/>
      <c r="M57" s="563"/>
      <c r="N57" s="663"/>
      <c r="O57" s="76"/>
      <c r="P57" s="838"/>
      <c r="Q57" s="1969"/>
      <c r="R57" s="919" t="s">
        <v>669</v>
      </c>
      <c r="S57" s="880">
        <v>1143</v>
      </c>
      <c r="T57" s="934">
        <f>M8</f>
        <v>0</v>
      </c>
      <c r="U57" s="935">
        <f>M9</f>
        <v>1</v>
      </c>
      <c r="V57" s="935">
        <f>M10</f>
        <v>2</v>
      </c>
      <c r="W57" s="935">
        <f>M11</f>
        <v>0</v>
      </c>
      <c r="X57" s="935">
        <f>M12</f>
        <v>0</v>
      </c>
      <c r="Y57" s="883">
        <f>M13</f>
        <v>2</v>
      </c>
      <c r="Z57" s="883">
        <f>M14</f>
        <v>1</v>
      </c>
      <c r="AA57" s="883">
        <f>M15</f>
        <v>0</v>
      </c>
      <c r="AB57" s="883">
        <f>M16</f>
        <v>0</v>
      </c>
      <c r="AC57" s="884"/>
      <c r="AD57" s="67"/>
      <c r="AE57" s="68"/>
      <c r="AF57" s="68"/>
    </row>
    <row r="58" spans="1:32" ht="18.75" customHeight="1">
      <c r="A58" s="584"/>
      <c r="B58" s="585"/>
      <c r="C58" s="586"/>
      <c r="D58" s="586"/>
      <c r="E58" s="563"/>
      <c r="F58" s="584"/>
      <c r="G58" s="585"/>
      <c r="H58" s="586"/>
      <c r="I58" s="586"/>
      <c r="J58" s="568"/>
      <c r="K58" s="563"/>
      <c r="L58" s="563"/>
      <c r="M58" s="563"/>
      <c r="N58" s="663"/>
      <c r="O58" s="64"/>
      <c r="P58" s="922"/>
      <c r="Q58" s="1969"/>
      <c r="R58" s="879" t="s">
        <v>719</v>
      </c>
      <c r="S58" s="856">
        <v>1151</v>
      </c>
      <c r="T58" s="850" t="s">
        <v>819</v>
      </c>
      <c r="U58" s="851" t="s">
        <v>819</v>
      </c>
      <c r="V58" s="851" t="s">
        <v>727</v>
      </c>
      <c r="W58" s="851" t="s">
        <v>727</v>
      </c>
      <c r="X58" s="851" t="s">
        <v>640</v>
      </c>
      <c r="Y58" s="851" t="s">
        <v>467</v>
      </c>
      <c r="Z58" s="851" t="s">
        <v>616</v>
      </c>
      <c r="AA58" s="851" t="s">
        <v>846</v>
      </c>
      <c r="AB58" s="853"/>
      <c r="AC58" s="854"/>
      <c r="AD58" s="67"/>
      <c r="AE58" s="68"/>
      <c r="AF58" s="68"/>
    </row>
    <row r="59" spans="1:32" ht="18.75" customHeight="1">
      <c r="A59" s="563" t="s">
        <v>868</v>
      </c>
      <c r="B59" s="563"/>
      <c r="C59" s="563"/>
      <c r="D59" s="563"/>
      <c r="E59" s="563"/>
      <c r="F59" s="584"/>
      <c r="G59" s="585"/>
      <c r="H59" s="586"/>
      <c r="I59" s="586"/>
      <c r="J59" s="563"/>
      <c r="K59" s="563"/>
      <c r="L59" s="563"/>
      <c r="M59" s="563"/>
      <c r="N59" s="663"/>
      <c r="O59" s="64"/>
      <c r="P59" s="838"/>
      <c r="Q59" s="1969"/>
      <c r="R59" s="929" t="s">
        <v>669</v>
      </c>
      <c r="S59" s="856">
        <v>1152</v>
      </c>
      <c r="T59" s="923">
        <f>A31</f>
        <v>2</v>
      </c>
      <c r="U59" s="924">
        <f>A31</f>
        <v>2</v>
      </c>
      <c r="V59" s="924">
        <f>A32</f>
        <v>3</v>
      </c>
      <c r="W59" s="924">
        <f>A33</f>
        <v>4</v>
      </c>
      <c r="X59" s="924">
        <f>A34</f>
        <v>5</v>
      </c>
      <c r="Y59" s="924">
        <f>A35</f>
        <v>6</v>
      </c>
      <c r="Z59" s="924">
        <f>A36</f>
        <v>7</v>
      </c>
      <c r="AA59" s="924">
        <f>A37</f>
        <v>8</v>
      </c>
      <c r="AB59" s="862"/>
      <c r="AC59" s="863"/>
      <c r="AD59" s="67"/>
      <c r="AE59" s="68"/>
      <c r="AF59" s="68"/>
    </row>
    <row r="60" spans="1:32" ht="18.75" customHeight="1" thickBot="1">
      <c r="A60" s="563" t="s">
        <v>575</v>
      </c>
      <c r="B60" s="563"/>
      <c r="C60" s="563"/>
      <c r="D60" s="563"/>
      <c r="E60" s="563"/>
      <c r="F60" s="563" t="s">
        <v>985</v>
      </c>
      <c r="G60" s="563"/>
      <c r="H60" s="563"/>
      <c r="I60" s="563"/>
      <c r="J60" s="563"/>
      <c r="K60" s="563" t="s">
        <v>1336</v>
      </c>
      <c r="L60" s="563"/>
      <c r="M60" s="563"/>
      <c r="N60" s="663"/>
      <c r="O60" s="64"/>
      <c r="P60" s="838"/>
      <c r="Q60" s="1969"/>
      <c r="R60" s="919"/>
      <c r="S60" s="880">
        <v>1153</v>
      </c>
      <c r="T60" s="930">
        <f>C30</f>
        <v>0</v>
      </c>
      <c r="U60" s="931">
        <f>C31</f>
        <v>0.6</v>
      </c>
      <c r="V60" s="931">
        <f>C32</f>
        <v>0.8</v>
      </c>
      <c r="W60" s="931">
        <f>C33</f>
        <v>1</v>
      </c>
      <c r="X60" s="931">
        <f>C34</f>
        <v>1.5</v>
      </c>
      <c r="Y60" s="932">
        <f>C35</f>
        <v>2</v>
      </c>
      <c r="Z60" s="932">
        <f>C36</f>
        <v>2.5</v>
      </c>
      <c r="AA60" s="932">
        <f>C37</f>
        <v>3</v>
      </c>
      <c r="AB60" s="928"/>
      <c r="AC60" s="884"/>
      <c r="AD60" s="67"/>
      <c r="AE60" s="68"/>
      <c r="AF60" s="68"/>
    </row>
    <row r="61" spans="1:32" ht="18.75" customHeight="1" thickTop="1">
      <c r="A61" s="591" t="s">
        <v>1217</v>
      </c>
      <c r="B61" s="592" t="s">
        <v>644</v>
      </c>
      <c r="C61" s="593" t="s">
        <v>1001</v>
      </c>
      <c r="D61" s="568"/>
      <c r="E61" s="563"/>
      <c r="F61" s="591" t="s">
        <v>1217</v>
      </c>
      <c r="G61" s="592" t="s">
        <v>1075</v>
      </c>
      <c r="H61" s="593" t="s">
        <v>1001</v>
      </c>
      <c r="I61" s="568"/>
      <c r="J61" s="563"/>
      <c r="K61" s="591" t="s">
        <v>1217</v>
      </c>
      <c r="L61" s="592" t="s">
        <v>1338</v>
      </c>
      <c r="M61" s="593" t="s">
        <v>1001</v>
      </c>
      <c r="N61" s="663"/>
      <c r="O61" s="64"/>
      <c r="P61" s="922" t="s">
        <v>997</v>
      </c>
      <c r="Q61" s="936"/>
      <c r="R61" s="879" t="s">
        <v>984</v>
      </c>
      <c r="S61" s="856">
        <v>1161</v>
      </c>
      <c r="T61" s="851" t="s">
        <v>640</v>
      </c>
      <c r="U61" s="853" t="s">
        <v>467</v>
      </c>
      <c r="V61" s="853" t="s">
        <v>616</v>
      </c>
      <c r="W61" s="853" t="s">
        <v>640</v>
      </c>
      <c r="X61" s="853" t="s">
        <v>640</v>
      </c>
      <c r="Y61" s="853" t="s">
        <v>616</v>
      </c>
      <c r="Z61" s="853" t="s">
        <v>616</v>
      </c>
      <c r="AA61" s="853" t="s">
        <v>640</v>
      </c>
      <c r="AB61" s="853" t="s">
        <v>640</v>
      </c>
      <c r="AC61" s="854"/>
      <c r="AD61" s="67"/>
      <c r="AE61" s="68"/>
      <c r="AF61" s="68"/>
    </row>
    <row r="62" spans="1:32" ht="18.75" customHeight="1">
      <c r="A62" s="601">
        <v>0</v>
      </c>
      <c r="B62" s="734" t="s">
        <v>79</v>
      </c>
      <c r="C62" s="617">
        <v>-2</v>
      </c>
      <c r="D62" s="631"/>
      <c r="E62" s="563"/>
      <c r="F62" s="601">
        <v>1</v>
      </c>
      <c r="G62" s="657" t="s">
        <v>805</v>
      </c>
      <c r="H62" s="617">
        <v>5</v>
      </c>
      <c r="I62" s="631"/>
      <c r="J62" s="563"/>
      <c r="K62" s="656">
        <v>0</v>
      </c>
      <c r="L62" s="657" t="s">
        <v>260</v>
      </c>
      <c r="M62" s="616">
        <v>0</v>
      </c>
      <c r="N62" s="663"/>
      <c r="P62" s="838"/>
      <c r="Q62" s="936"/>
      <c r="R62" s="937" t="s">
        <v>638</v>
      </c>
      <c r="S62" s="937">
        <v>1162</v>
      </c>
      <c r="T62" s="938" t="str">
        <f>L8</f>
        <v>　</v>
      </c>
      <c r="U62" s="877" t="str">
        <f>L9</f>
        <v>東</v>
      </c>
      <c r="V62" s="877" t="str">
        <f>L10</f>
        <v>南</v>
      </c>
      <c r="W62" s="877" t="str">
        <f>L11</f>
        <v>西</v>
      </c>
      <c r="X62" s="877" t="str">
        <f>L12</f>
        <v>北</v>
      </c>
      <c r="Y62" s="877" t="str">
        <f>L13</f>
        <v>南東</v>
      </c>
      <c r="Z62" s="877" t="str">
        <f>L14</f>
        <v>南西</v>
      </c>
      <c r="AA62" s="878" t="str">
        <f>L15</f>
        <v>北西</v>
      </c>
      <c r="AB62" s="862" t="str">
        <f>L16</f>
        <v>北東</v>
      </c>
      <c r="AC62" s="863"/>
      <c r="AD62" s="67"/>
      <c r="AE62" s="68"/>
      <c r="AF62" s="68"/>
    </row>
    <row r="63" spans="1:32" ht="18.75" customHeight="1">
      <c r="A63" s="601">
        <v>10</v>
      </c>
      <c r="B63" s="734" t="s">
        <v>636</v>
      </c>
      <c r="C63" s="617">
        <v>5</v>
      </c>
      <c r="D63" s="631"/>
      <c r="E63" s="563"/>
      <c r="F63" s="601">
        <v>2</v>
      </c>
      <c r="G63" s="657" t="s">
        <v>736</v>
      </c>
      <c r="H63" s="617">
        <v>0</v>
      </c>
      <c r="I63" s="631"/>
      <c r="J63" s="563"/>
      <c r="K63" s="735">
        <v>1</v>
      </c>
      <c r="L63" s="736" t="s">
        <v>80</v>
      </c>
      <c r="M63" s="737">
        <v>0</v>
      </c>
      <c r="P63" s="838"/>
      <c r="Q63" s="847"/>
      <c r="R63" s="879" t="s">
        <v>669</v>
      </c>
      <c r="S63" s="880">
        <v>1163</v>
      </c>
      <c r="T63" s="881">
        <f>M8</f>
        <v>0</v>
      </c>
      <c r="U63" s="882">
        <f>M9</f>
        <v>1</v>
      </c>
      <c r="V63" s="882">
        <f>M10</f>
        <v>2</v>
      </c>
      <c r="W63" s="882">
        <f>M11</f>
        <v>0</v>
      </c>
      <c r="X63" s="882">
        <f>M12</f>
        <v>0</v>
      </c>
      <c r="Y63" s="883">
        <f>M13</f>
        <v>2</v>
      </c>
      <c r="Z63" s="883">
        <f>M14</f>
        <v>1</v>
      </c>
      <c r="AA63" s="883">
        <f>M15</f>
        <v>0</v>
      </c>
      <c r="AB63" s="883">
        <f>M16</f>
        <v>0</v>
      </c>
      <c r="AC63" s="884"/>
      <c r="AD63" s="67"/>
      <c r="AE63" s="68"/>
      <c r="AF63" s="68"/>
    </row>
    <row r="64" spans="1:32" ht="18.75" customHeight="1" thickBot="1">
      <c r="A64" s="601">
        <v>24</v>
      </c>
      <c r="B64" s="734" t="s">
        <v>807</v>
      </c>
      <c r="C64" s="617">
        <v>3</v>
      </c>
      <c r="D64" s="631"/>
      <c r="E64" s="563"/>
      <c r="F64" s="601">
        <v>3</v>
      </c>
      <c r="G64" s="657" t="s">
        <v>808</v>
      </c>
      <c r="H64" s="617">
        <v>-5</v>
      </c>
      <c r="I64" s="631"/>
      <c r="J64" s="563"/>
      <c r="K64" s="666">
        <v>2</v>
      </c>
      <c r="L64" s="667" t="s">
        <v>637</v>
      </c>
      <c r="M64" s="620">
        <v>2</v>
      </c>
      <c r="O64" s="64"/>
      <c r="P64" s="838"/>
      <c r="Q64" s="847"/>
      <c r="R64" s="848" t="s">
        <v>635</v>
      </c>
      <c r="S64" s="849">
        <v>1171</v>
      </c>
      <c r="T64" s="850" t="s">
        <v>819</v>
      </c>
      <c r="U64" s="851" t="s">
        <v>819</v>
      </c>
      <c r="V64" s="851" t="s">
        <v>727</v>
      </c>
      <c r="W64" s="851" t="s">
        <v>727</v>
      </c>
      <c r="X64" s="851" t="s">
        <v>640</v>
      </c>
      <c r="Y64" s="851" t="s">
        <v>467</v>
      </c>
      <c r="Z64" s="851" t="s">
        <v>616</v>
      </c>
      <c r="AA64" s="851" t="s">
        <v>846</v>
      </c>
      <c r="AB64" s="853"/>
      <c r="AC64" s="854"/>
      <c r="AD64" s="67"/>
      <c r="AE64" s="68"/>
      <c r="AF64" s="68"/>
    </row>
    <row r="65" spans="1:32" ht="18.75" customHeight="1" thickTop="1">
      <c r="A65" s="601">
        <v>31</v>
      </c>
      <c r="B65" s="734" t="s">
        <v>1285</v>
      </c>
      <c r="C65" s="617">
        <v>0</v>
      </c>
      <c r="D65" s="631"/>
      <c r="E65" s="563"/>
      <c r="F65" s="601">
        <v>4</v>
      </c>
      <c r="G65" s="657" t="s">
        <v>1286</v>
      </c>
      <c r="H65" s="617">
        <v>-10</v>
      </c>
      <c r="I65" s="631"/>
      <c r="J65" s="563"/>
      <c r="K65" s="563"/>
      <c r="L65" s="563"/>
      <c r="M65" s="563"/>
      <c r="O65" s="64"/>
      <c r="P65" s="838"/>
      <c r="Q65" s="847"/>
      <c r="R65" s="937" t="s">
        <v>638</v>
      </c>
      <c r="S65" s="856">
        <v>1172</v>
      </c>
      <c r="T65" s="923">
        <f>F31</f>
        <v>2</v>
      </c>
      <c r="U65" s="924">
        <f>F31</f>
        <v>2</v>
      </c>
      <c r="V65" s="924">
        <f>F32</f>
        <v>3</v>
      </c>
      <c r="W65" s="924">
        <f>F33</f>
        <v>4</v>
      </c>
      <c r="X65" s="924">
        <f>F34</f>
        <v>5</v>
      </c>
      <c r="Y65" s="924">
        <f>F35</f>
        <v>6</v>
      </c>
      <c r="Z65" s="924">
        <f>F36</f>
        <v>7</v>
      </c>
      <c r="AA65" s="924">
        <f>F37</f>
        <v>8</v>
      </c>
      <c r="AB65" s="862"/>
      <c r="AC65" s="863"/>
      <c r="AD65" s="67"/>
      <c r="AE65" s="68"/>
      <c r="AF65" s="68"/>
    </row>
    <row r="66" spans="1:32" ht="18.75" customHeight="1">
      <c r="A66" s="601">
        <v>33</v>
      </c>
      <c r="B66" s="734" t="s">
        <v>761</v>
      </c>
      <c r="C66" s="617">
        <v>0</v>
      </c>
      <c r="D66" s="631"/>
      <c r="E66" s="563"/>
      <c r="F66" s="601">
        <v>5</v>
      </c>
      <c r="G66" s="657" t="s">
        <v>1136</v>
      </c>
      <c r="H66" s="617">
        <v>-15</v>
      </c>
      <c r="I66" s="631"/>
      <c r="J66" s="563"/>
      <c r="K66" s="563"/>
      <c r="L66" s="563"/>
      <c r="M66" s="563"/>
      <c r="O66" s="64"/>
      <c r="P66" s="838"/>
      <c r="Q66" s="847"/>
      <c r="R66" s="919"/>
      <c r="S66" s="880">
        <v>1173</v>
      </c>
      <c r="T66" s="881">
        <f>H30</f>
        <v>0</v>
      </c>
      <c r="U66" s="882">
        <f>H31</f>
        <v>0.6</v>
      </c>
      <c r="V66" s="882">
        <f>H32</f>
        <v>0.8</v>
      </c>
      <c r="W66" s="882">
        <f>H33</f>
        <v>1</v>
      </c>
      <c r="X66" s="882">
        <f>H34</f>
        <v>1.5</v>
      </c>
      <c r="Y66" s="939">
        <f>H35</f>
        <v>2</v>
      </c>
      <c r="Z66" s="939">
        <f>H36</f>
        <v>2.5</v>
      </c>
      <c r="AA66" s="939">
        <f>H37</f>
        <v>3</v>
      </c>
      <c r="AB66" s="928"/>
      <c r="AC66" s="884"/>
      <c r="AD66" s="67"/>
      <c r="AE66" s="68"/>
      <c r="AF66" s="68"/>
    </row>
    <row r="67" spans="1:32" ht="18.75" customHeight="1" thickBot="1">
      <c r="A67" s="601">
        <v>34</v>
      </c>
      <c r="B67" s="734" t="s">
        <v>724</v>
      </c>
      <c r="C67" s="617">
        <v>0</v>
      </c>
      <c r="D67" s="631"/>
      <c r="E67" s="563"/>
      <c r="F67" s="601" t="s">
        <v>669</v>
      </c>
      <c r="G67" s="657" t="s">
        <v>669</v>
      </c>
      <c r="H67" s="617" t="s">
        <v>669</v>
      </c>
      <c r="I67" s="631"/>
      <c r="J67" s="563"/>
      <c r="K67" s="563" t="s">
        <v>1174</v>
      </c>
      <c r="L67" s="563"/>
      <c r="M67" s="563"/>
      <c r="O67" s="64"/>
      <c r="P67" s="838"/>
      <c r="Q67" s="847"/>
      <c r="R67" s="879" t="s">
        <v>1099</v>
      </c>
      <c r="S67" s="856">
        <v>1181</v>
      </c>
      <c r="T67" s="850" t="str">
        <f>L35</f>
        <v>角地</v>
      </c>
      <c r="U67" s="851" t="str">
        <f>L36</f>
        <v>準角地</v>
      </c>
      <c r="V67" s="851" t="str">
        <f>L37</f>
        <v>二方路地</v>
      </c>
      <c r="W67" s="851" t="str">
        <f>L38</f>
        <v>三方路地</v>
      </c>
      <c r="X67" s="851" t="str">
        <f>L39</f>
        <v>四方路地</v>
      </c>
      <c r="Y67" s="851" t="str">
        <f>L40</f>
        <v>中間画地</v>
      </c>
      <c r="Z67" s="852"/>
      <c r="AA67" s="852"/>
      <c r="AB67" s="851"/>
      <c r="AC67" s="940"/>
      <c r="AD67" s="67"/>
      <c r="AE67" s="68"/>
      <c r="AF67" s="68"/>
    </row>
    <row r="68" spans="1:32" ht="18.75" customHeight="1" thickTop="1">
      <c r="A68" s="601">
        <v>40</v>
      </c>
      <c r="B68" s="734" t="s">
        <v>726</v>
      </c>
      <c r="C68" s="617">
        <v>-5</v>
      </c>
      <c r="D68" s="631"/>
      <c r="E68" s="563"/>
      <c r="F68" s="601"/>
      <c r="G68" s="657"/>
      <c r="H68" s="617"/>
      <c r="I68" s="631"/>
      <c r="J68" s="563"/>
      <c r="K68" s="591" t="s">
        <v>1217</v>
      </c>
      <c r="L68" s="592" t="s">
        <v>1102</v>
      </c>
      <c r="M68" s="593" t="s">
        <v>1001</v>
      </c>
      <c r="O68" s="64"/>
      <c r="P68" s="838"/>
      <c r="Q68" s="847"/>
      <c r="R68" s="917" t="s">
        <v>723</v>
      </c>
      <c r="S68" s="856">
        <v>1182</v>
      </c>
      <c r="T68" s="941"/>
      <c r="U68" s="942"/>
      <c r="V68" s="942"/>
      <c r="W68" s="942"/>
      <c r="X68" s="942"/>
      <c r="Y68" s="861"/>
      <c r="Z68" s="861"/>
      <c r="AA68" s="861"/>
      <c r="AB68" s="878"/>
      <c r="AC68" s="943"/>
      <c r="AD68" s="67"/>
      <c r="AE68" s="68"/>
      <c r="AF68" s="68"/>
    </row>
    <row r="69" spans="1:32" ht="18.75" customHeight="1" thickBot="1">
      <c r="A69" s="601">
        <v>51</v>
      </c>
      <c r="B69" s="734" t="s">
        <v>404</v>
      </c>
      <c r="C69" s="617">
        <v>-7</v>
      </c>
      <c r="D69" s="631"/>
      <c r="E69" s="563"/>
      <c r="F69" s="738"/>
      <c r="G69" s="667"/>
      <c r="H69" s="680"/>
      <c r="I69" s="631"/>
      <c r="J69" s="563"/>
      <c r="K69" s="656">
        <v>0</v>
      </c>
      <c r="L69" s="657" t="s">
        <v>725</v>
      </c>
      <c r="M69" s="616">
        <v>0</v>
      </c>
      <c r="O69" s="64"/>
      <c r="P69" s="838"/>
      <c r="Q69" s="847"/>
      <c r="R69" s="919"/>
      <c r="S69" s="880">
        <v>1183</v>
      </c>
      <c r="T69" s="944">
        <f>M35</f>
        <v>2</v>
      </c>
      <c r="U69" s="945">
        <f>M36</f>
        <v>1</v>
      </c>
      <c r="V69" s="945">
        <f>M37</f>
        <v>1.5</v>
      </c>
      <c r="W69" s="945">
        <f>M38</f>
        <v>2</v>
      </c>
      <c r="X69" s="945">
        <f>M39</f>
        <v>3</v>
      </c>
      <c r="Y69" s="946">
        <f>M40</f>
        <v>0</v>
      </c>
      <c r="Z69" s="947"/>
      <c r="AA69" s="947"/>
      <c r="AB69" s="928"/>
      <c r="AC69" s="884"/>
      <c r="AD69" s="67"/>
      <c r="AE69" s="68"/>
      <c r="AF69" s="68"/>
    </row>
    <row r="70" spans="1:32" ht="18.75" customHeight="1" thickTop="1">
      <c r="A70" s="601">
        <v>52</v>
      </c>
      <c r="B70" s="734" t="s">
        <v>1244</v>
      </c>
      <c r="C70" s="617">
        <v>-7</v>
      </c>
      <c r="D70" s="631"/>
      <c r="E70" s="563"/>
      <c r="F70" s="587"/>
      <c r="G70" s="585"/>
      <c r="H70" s="586"/>
      <c r="I70" s="586"/>
      <c r="J70" s="563"/>
      <c r="K70" s="656">
        <v>1</v>
      </c>
      <c r="L70" s="657" t="s">
        <v>403</v>
      </c>
      <c r="M70" s="616">
        <v>0</v>
      </c>
      <c r="P70" s="838"/>
      <c r="Q70" s="847"/>
      <c r="R70" s="879" t="s">
        <v>81</v>
      </c>
      <c r="S70" s="856">
        <v>1191</v>
      </c>
      <c r="T70" s="850" t="str">
        <f>L76</f>
        <v>平坦地</v>
      </c>
      <c r="U70" s="851" t="str">
        <f>L77</f>
        <v>緩傾斜地</v>
      </c>
      <c r="V70" s="851" t="str">
        <f>L78</f>
        <v>傾斜度中</v>
      </c>
      <c r="W70" s="851" t="str">
        <f>L79</f>
        <v>傾斜度強</v>
      </c>
      <c r="X70" s="851" t="str">
        <f>L80</f>
        <v>急峻地</v>
      </c>
      <c r="Y70" s="852"/>
      <c r="Z70" s="852"/>
      <c r="AA70" s="852"/>
      <c r="AB70" s="851"/>
      <c r="AC70" s="940"/>
      <c r="AD70" s="67"/>
      <c r="AE70" s="68"/>
      <c r="AF70" s="68"/>
    </row>
    <row r="71" spans="1:32" ht="18.75" customHeight="1" thickBot="1">
      <c r="A71" s="738">
        <v>60</v>
      </c>
      <c r="B71" s="739" t="s">
        <v>1245</v>
      </c>
      <c r="C71" s="680">
        <v>-2</v>
      </c>
      <c r="D71" s="631"/>
      <c r="E71" s="563"/>
      <c r="F71" s="587"/>
      <c r="G71" s="585"/>
      <c r="H71" s="586"/>
      <c r="I71" s="586"/>
      <c r="J71" s="563"/>
      <c r="K71" s="666">
        <v>2</v>
      </c>
      <c r="L71" s="667" t="s">
        <v>1243</v>
      </c>
      <c r="M71" s="620">
        <v>-2</v>
      </c>
      <c r="O71" s="64"/>
      <c r="P71" s="838"/>
      <c r="Q71" s="847"/>
      <c r="R71" s="879"/>
      <c r="S71" s="856">
        <v>1192</v>
      </c>
      <c r="T71" s="941" t="s">
        <v>264</v>
      </c>
      <c r="U71" s="942" t="s">
        <v>264</v>
      </c>
      <c r="V71" s="942" t="s">
        <v>264</v>
      </c>
      <c r="W71" s="942" t="s">
        <v>264</v>
      </c>
      <c r="X71" s="942"/>
      <c r="Y71" s="861"/>
      <c r="Z71" s="861"/>
      <c r="AA71" s="861"/>
      <c r="AB71" s="878"/>
      <c r="AC71" s="943"/>
      <c r="AD71" s="67"/>
      <c r="AE71" s="68"/>
      <c r="AF71" s="68"/>
    </row>
    <row r="72" spans="1:32" ht="18.75" customHeight="1" thickBot="1" thickTop="1">
      <c r="A72" s="587"/>
      <c r="B72" s="585"/>
      <c r="C72" s="586"/>
      <c r="D72" s="586"/>
      <c r="E72" s="563"/>
      <c r="F72" s="587"/>
      <c r="G72" s="585"/>
      <c r="H72" s="586"/>
      <c r="I72" s="586"/>
      <c r="J72" s="563"/>
      <c r="K72" s="563"/>
      <c r="L72" s="563"/>
      <c r="M72" s="563"/>
      <c r="O72" s="64"/>
      <c r="P72" s="902"/>
      <c r="Q72" s="903"/>
      <c r="R72" s="948"/>
      <c r="S72" s="949">
        <v>1193</v>
      </c>
      <c r="T72" s="950">
        <f>M76</f>
        <v>0</v>
      </c>
      <c r="U72" s="951">
        <f>M77</f>
        <v>-2.5</v>
      </c>
      <c r="V72" s="951">
        <f>M78</f>
        <v>-5</v>
      </c>
      <c r="W72" s="951">
        <f>M79</f>
        <v>-10</v>
      </c>
      <c r="X72" s="951">
        <f>M80</f>
        <v>-20</v>
      </c>
      <c r="Y72" s="952"/>
      <c r="Z72" s="952"/>
      <c r="AA72" s="952"/>
      <c r="AB72" s="953"/>
      <c r="AC72" s="954"/>
      <c r="AD72" s="67"/>
      <c r="AE72" s="68"/>
      <c r="AF72" s="68"/>
    </row>
    <row r="73" spans="1:33" ht="18.75" customHeight="1" thickTop="1">
      <c r="A73" s="563"/>
      <c r="B73" s="563"/>
      <c r="C73" s="563"/>
      <c r="D73" s="563"/>
      <c r="E73" s="563"/>
      <c r="F73" s="563"/>
      <c r="G73" s="563"/>
      <c r="H73" s="563"/>
      <c r="I73" s="563"/>
      <c r="J73" s="563"/>
      <c r="K73" s="563"/>
      <c r="L73" s="563"/>
      <c r="M73" s="563"/>
      <c r="O73" s="64"/>
      <c r="P73" s="911" t="s">
        <v>951</v>
      </c>
      <c r="Q73" s="912"/>
      <c r="R73" s="912"/>
      <c r="S73" s="560"/>
      <c r="T73" s="955"/>
      <c r="U73" s="955"/>
      <c r="V73" s="955"/>
      <c r="W73" s="955"/>
      <c r="X73" s="955"/>
      <c r="Y73" s="800"/>
      <c r="Z73" s="800"/>
      <c r="AA73" s="800"/>
      <c r="AB73" s="560"/>
      <c r="AC73" s="560"/>
      <c r="AD73" s="79"/>
      <c r="AE73" s="79"/>
      <c r="AF73" s="79"/>
      <c r="AG73" s="61"/>
    </row>
    <row r="74" spans="1:33" ht="18.75" customHeight="1" thickBot="1">
      <c r="A74" s="587" t="s">
        <v>969</v>
      </c>
      <c r="B74" s="585" t="s">
        <v>995</v>
      </c>
      <c r="C74" s="586"/>
      <c r="D74" s="586"/>
      <c r="E74" s="563"/>
      <c r="F74" s="587" t="s">
        <v>1150</v>
      </c>
      <c r="G74" s="585" t="s">
        <v>995</v>
      </c>
      <c r="H74" s="586"/>
      <c r="I74" s="586"/>
      <c r="J74" s="563"/>
      <c r="K74" s="563" t="s">
        <v>81</v>
      </c>
      <c r="L74" s="563"/>
      <c r="M74" s="563"/>
      <c r="O74" s="64"/>
      <c r="P74" s="912"/>
      <c r="Q74" s="912"/>
      <c r="R74" s="912"/>
      <c r="S74" s="560"/>
      <c r="T74" s="955"/>
      <c r="U74" s="955"/>
      <c r="V74" s="955"/>
      <c r="W74" s="955"/>
      <c r="X74" s="955"/>
      <c r="Y74" s="800"/>
      <c r="Z74" s="800"/>
      <c r="AA74" s="800"/>
      <c r="AB74" s="560"/>
      <c r="AC74" s="560"/>
      <c r="AD74" s="63"/>
      <c r="AE74" s="63"/>
      <c r="AF74" s="63"/>
      <c r="AG74" s="61"/>
    </row>
    <row r="75" spans="1:32" ht="18.75" customHeight="1" thickBot="1" thickTop="1">
      <c r="A75" s="591" t="s">
        <v>387</v>
      </c>
      <c r="B75" s="592" t="s">
        <v>601</v>
      </c>
      <c r="C75" s="593" t="s">
        <v>1001</v>
      </c>
      <c r="D75" s="568"/>
      <c r="E75" s="563"/>
      <c r="F75" s="591" t="s">
        <v>855</v>
      </c>
      <c r="G75" s="592" t="s">
        <v>601</v>
      </c>
      <c r="H75" s="593" t="s">
        <v>1001</v>
      </c>
      <c r="I75" s="568"/>
      <c r="J75" s="563"/>
      <c r="K75" s="591" t="s">
        <v>601</v>
      </c>
      <c r="L75" s="592" t="s">
        <v>936</v>
      </c>
      <c r="M75" s="593" t="s">
        <v>1001</v>
      </c>
      <c r="O75" s="64"/>
      <c r="P75" s="799" t="s">
        <v>303</v>
      </c>
      <c r="Q75" s="799"/>
      <c r="R75" s="1970" t="str">
        <f>A4</f>
        <v>一般住宅地</v>
      </c>
      <c r="S75" s="1970"/>
      <c r="T75" s="1970"/>
      <c r="U75" s="799"/>
      <c r="V75" s="799"/>
      <c r="W75" s="799"/>
      <c r="X75" s="799"/>
      <c r="Y75" s="799"/>
      <c r="Z75" s="800"/>
      <c r="AA75" s="1978" t="str">
        <f>"鑑第岐 "&amp;'評価書作成'!B13&amp;" 号"</f>
        <v>鑑第岐 99999 号</v>
      </c>
      <c r="AB75" s="1978"/>
      <c r="AC75" s="560" t="s">
        <v>1152</v>
      </c>
      <c r="AD75" s="63"/>
      <c r="AE75" s="63"/>
      <c r="AF75" s="63"/>
    </row>
    <row r="76" spans="1:32" ht="18.75" customHeight="1" thickTop="1">
      <c r="A76" s="650">
        <v>0</v>
      </c>
      <c r="B76" s="335">
        <v>1</v>
      </c>
      <c r="C76" s="683">
        <v>0</v>
      </c>
      <c r="D76" s="740"/>
      <c r="E76" s="563"/>
      <c r="F76" s="741">
        <v>-3</v>
      </c>
      <c r="G76" s="335">
        <v>1</v>
      </c>
      <c r="H76" s="742">
        <v>-30</v>
      </c>
      <c r="I76" s="597"/>
      <c r="J76" s="563"/>
      <c r="K76" s="601">
        <v>1</v>
      </c>
      <c r="L76" s="657" t="s">
        <v>82</v>
      </c>
      <c r="M76" s="617">
        <v>0</v>
      </c>
      <c r="O76" s="64"/>
      <c r="P76" s="801" t="s">
        <v>298</v>
      </c>
      <c r="Q76" s="802" t="s">
        <v>972</v>
      </c>
      <c r="R76" s="802" t="s">
        <v>973</v>
      </c>
      <c r="S76" s="803" t="s">
        <v>663</v>
      </c>
      <c r="T76" s="804" t="s">
        <v>299</v>
      </c>
      <c r="U76" s="805"/>
      <c r="V76" s="805"/>
      <c r="W76" s="805"/>
      <c r="X76" s="805"/>
      <c r="Y76" s="805"/>
      <c r="Z76" s="805"/>
      <c r="AA76" s="805"/>
      <c r="AB76" s="805"/>
      <c r="AC76" s="806"/>
      <c r="AD76" s="65" t="s">
        <v>721</v>
      </c>
      <c r="AE76" s="66"/>
      <c r="AF76" s="66"/>
    </row>
    <row r="77" spans="1:32" ht="18.75" customHeight="1">
      <c r="A77" s="743">
        <v>3</v>
      </c>
      <c r="B77" s="335">
        <v>2</v>
      </c>
      <c r="C77" s="616">
        <v>5</v>
      </c>
      <c r="D77" s="568"/>
      <c r="E77" s="563"/>
      <c r="F77" s="741">
        <v>-1</v>
      </c>
      <c r="G77" s="335">
        <v>2</v>
      </c>
      <c r="H77" s="742">
        <v>-20</v>
      </c>
      <c r="I77" s="597"/>
      <c r="J77" s="563"/>
      <c r="K77" s="601">
        <v>2</v>
      </c>
      <c r="L77" s="657" t="s">
        <v>83</v>
      </c>
      <c r="M77" s="617">
        <v>-2.5</v>
      </c>
      <c r="O77" s="64"/>
      <c r="P77" s="807" t="s">
        <v>968</v>
      </c>
      <c r="Q77" s="1967" t="s">
        <v>36</v>
      </c>
      <c r="R77" s="914" t="s">
        <v>575</v>
      </c>
      <c r="S77" s="815">
        <v>1211</v>
      </c>
      <c r="T77" s="915" t="s">
        <v>727</v>
      </c>
      <c r="U77" s="811" t="s">
        <v>616</v>
      </c>
      <c r="V77" s="811" t="s">
        <v>467</v>
      </c>
      <c r="W77" s="811" t="s">
        <v>640</v>
      </c>
      <c r="X77" s="811" t="s">
        <v>640</v>
      </c>
      <c r="Y77" s="811" t="s">
        <v>640</v>
      </c>
      <c r="Z77" s="811" t="s">
        <v>1231</v>
      </c>
      <c r="AA77" s="811" t="s">
        <v>1231</v>
      </c>
      <c r="AB77" s="811" t="s">
        <v>1231</v>
      </c>
      <c r="AC77" s="813" t="s">
        <v>640</v>
      </c>
      <c r="AD77" s="67"/>
      <c r="AE77" s="68"/>
      <c r="AF77" s="68"/>
    </row>
    <row r="78" spans="1:32" ht="18.75" customHeight="1">
      <c r="A78" s="743">
        <v>4</v>
      </c>
      <c r="B78" s="335">
        <v>3</v>
      </c>
      <c r="C78" s="616">
        <v>10</v>
      </c>
      <c r="D78" s="568"/>
      <c r="E78" s="563"/>
      <c r="F78" s="741">
        <v>-0.1</v>
      </c>
      <c r="G78" s="335">
        <v>3</v>
      </c>
      <c r="H78" s="742">
        <v>-5</v>
      </c>
      <c r="I78" s="597"/>
      <c r="J78" s="563"/>
      <c r="K78" s="601">
        <v>3</v>
      </c>
      <c r="L78" s="657" t="s">
        <v>84</v>
      </c>
      <c r="M78" s="617">
        <v>-5</v>
      </c>
      <c r="O78" s="64"/>
      <c r="P78" s="814" t="s">
        <v>686</v>
      </c>
      <c r="Q78" s="1968"/>
      <c r="R78" s="914" t="s">
        <v>184</v>
      </c>
      <c r="S78" s="815">
        <v>1212</v>
      </c>
      <c r="T78" s="558" t="str">
        <f>B62</f>
        <v>公道</v>
      </c>
      <c r="U78" s="956" t="str">
        <f>B63</f>
        <v>国道</v>
      </c>
      <c r="V78" s="956" t="str">
        <f>B64</f>
        <v>県道</v>
      </c>
      <c r="W78" s="956" t="str">
        <f>B65</f>
        <v>市道</v>
      </c>
      <c r="X78" s="956" t="str">
        <f>B66</f>
        <v>町道</v>
      </c>
      <c r="Y78" s="956" t="str">
        <f>B67</f>
        <v>村道</v>
      </c>
      <c r="Z78" s="956" t="str">
        <f>B68</f>
        <v>私道</v>
      </c>
      <c r="AA78" s="956" t="str">
        <f>B69</f>
        <v>農道</v>
      </c>
      <c r="AB78" s="957" t="str">
        <f>B70</f>
        <v>林道</v>
      </c>
      <c r="AC78" s="958" t="str">
        <f>B71</f>
        <v>区画街路</v>
      </c>
      <c r="AD78" s="67"/>
      <c r="AE78" s="68"/>
      <c r="AF78" s="68"/>
    </row>
    <row r="79" spans="1:32" ht="18.75" customHeight="1">
      <c r="A79" s="743">
        <v>7</v>
      </c>
      <c r="B79" s="335">
        <v>4</v>
      </c>
      <c r="C79" s="616">
        <v>15</v>
      </c>
      <c r="D79" s="568"/>
      <c r="E79" s="563"/>
      <c r="F79" s="741">
        <v>0</v>
      </c>
      <c r="G79" s="744">
        <v>4</v>
      </c>
      <c r="H79" s="745">
        <v>0</v>
      </c>
      <c r="I79" s="597"/>
      <c r="J79" s="563"/>
      <c r="K79" s="601">
        <v>4</v>
      </c>
      <c r="L79" s="657" t="s">
        <v>85</v>
      </c>
      <c r="M79" s="617">
        <v>-10</v>
      </c>
      <c r="O79" s="64"/>
      <c r="P79" s="822"/>
      <c r="Q79" s="1968"/>
      <c r="R79" s="914"/>
      <c r="S79" s="959">
        <v>1213</v>
      </c>
      <c r="T79" s="960">
        <f>C62</f>
        <v>-2</v>
      </c>
      <c r="U79" s="961">
        <f>C63</f>
        <v>5</v>
      </c>
      <c r="V79" s="961">
        <f>C64</f>
        <v>3</v>
      </c>
      <c r="W79" s="961">
        <f>C65</f>
        <v>0</v>
      </c>
      <c r="X79" s="961">
        <f>C66</f>
        <v>0</v>
      </c>
      <c r="Y79" s="962">
        <f>C67</f>
        <v>0</v>
      </c>
      <c r="Z79" s="962">
        <f>C68</f>
        <v>-5</v>
      </c>
      <c r="AA79" s="962">
        <f>C69</f>
        <v>-7</v>
      </c>
      <c r="AB79" s="962">
        <f>C70</f>
        <v>-7</v>
      </c>
      <c r="AC79" s="963">
        <v>0</v>
      </c>
      <c r="AD79" s="67"/>
      <c r="AE79" s="68"/>
      <c r="AF79" s="68"/>
    </row>
    <row r="80" spans="1:32" ht="18.75" customHeight="1">
      <c r="A80" s="743">
        <v>10</v>
      </c>
      <c r="B80" s="335">
        <v>5</v>
      </c>
      <c r="C80" s="616">
        <v>20</v>
      </c>
      <c r="D80" s="568"/>
      <c r="E80" s="563"/>
      <c r="F80" s="741">
        <v>0.8</v>
      </c>
      <c r="G80" s="744">
        <v>5</v>
      </c>
      <c r="H80" s="745">
        <v>2</v>
      </c>
      <c r="I80" s="597"/>
      <c r="J80" s="563"/>
      <c r="K80" s="601">
        <v>5</v>
      </c>
      <c r="L80" s="657" t="s">
        <v>86</v>
      </c>
      <c r="M80" s="617">
        <v>-20</v>
      </c>
      <c r="P80" s="822"/>
      <c r="Q80" s="964" t="s">
        <v>669</v>
      </c>
      <c r="R80" s="808" t="s">
        <v>355</v>
      </c>
      <c r="S80" s="809">
        <v>1221</v>
      </c>
      <c r="T80" s="810" t="str">
        <f>G62</f>
        <v>良</v>
      </c>
      <c r="U80" s="811" t="str">
        <f>G63</f>
        <v>普通</v>
      </c>
      <c r="V80" s="811" t="str">
        <f>G64</f>
        <v>否</v>
      </c>
      <c r="W80" s="811" t="str">
        <f>G65</f>
        <v>行止道</v>
      </c>
      <c r="X80" s="811" t="str">
        <f>G66</f>
        <v>階段</v>
      </c>
      <c r="Y80" s="812"/>
      <c r="Z80" s="812"/>
      <c r="AA80" s="812"/>
      <c r="AB80" s="916"/>
      <c r="AC80" s="813"/>
      <c r="AD80" s="67"/>
      <c r="AE80" s="68"/>
      <c r="AF80" s="68"/>
    </row>
    <row r="81" spans="1:32" ht="18.75" customHeight="1">
      <c r="A81" s="746">
        <v>20</v>
      </c>
      <c r="B81" s="657">
        <v>6</v>
      </c>
      <c r="C81" s="616">
        <v>25</v>
      </c>
      <c r="D81" s="568"/>
      <c r="E81" s="563"/>
      <c r="F81" s="747">
        <v>1.2</v>
      </c>
      <c r="G81" s="748">
        <v>6</v>
      </c>
      <c r="H81" s="745">
        <v>-2</v>
      </c>
      <c r="I81" s="597"/>
      <c r="J81" s="563"/>
      <c r="K81" s="601">
        <v>6</v>
      </c>
      <c r="L81" s="657" t="s">
        <v>669</v>
      </c>
      <c r="M81" s="617" t="s">
        <v>669</v>
      </c>
      <c r="P81" s="822"/>
      <c r="Q81" s="964"/>
      <c r="R81" s="914" t="s">
        <v>472</v>
      </c>
      <c r="S81" s="815">
        <v>1222</v>
      </c>
      <c r="T81" s="558" t="s">
        <v>669</v>
      </c>
      <c r="U81" s="956" t="s">
        <v>669</v>
      </c>
      <c r="V81" s="956" t="s">
        <v>669</v>
      </c>
      <c r="W81" s="956" t="s">
        <v>669</v>
      </c>
      <c r="X81" s="956" t="s">
        <v>669</v>
      </c>
      <c r="Y81" s="819"/>
      <c r="Z81" s="819"/>
      <c r="AA81" s="819"/>
      <c r="AB81" s="820"/>
      <c r="AC81" s="821"/>
      <c r="AD81" s="67"/>
      <c r="AE81" s="68"/>
      <c r="AF81" s="68"/>
    </row>
    <row r="82" spans="1:32" ht="18.75" customHeight="1">
      <c r="A82" s="746">
        <v>30</v>
      </c>
      <c r="B82" s="657">
        <v>7</v>
      </c>
      <c r="C82" s="616">
        <v>30</v>
      </c>
      <c r="D82" s="568"/>
      <c r="E82" s="563"/>
      <c r="F82" s="747">
        <v>1.5</v>
      </c>
      <c r="G82" s="657">
        <v>7</v>
      </c>
      <c r="H82" s="742">
        <v>-3</v>
      </c>
      <c r="I82" s="597"/>
      <c r="J82" s="563"/>
      <c r="K82" s="601">
        <v>7</v>
      </c>
      <c r="L82" s="657"/>
      <c r="M82" s="617"/>
      <c r="P82" s="822"/>
      <c r="Q82" s="964"/>
      <c r="R82" s="914"/>
      <c r="S82" s="959">
        <v>1223</v>
      </c>
      <c r="T82" s="960">
        <f>H62</f>
        <v>5</v>
      </c>
      <c r="U82" s="961">
        <f>H63</f>
        <v>0</v>
      </c>
      <c r="V82" s="961">
        <f>H64</f>
        <v>-5</v>
      </c>
      <c r="W82" s="961">
        <f>H65</f>
        <v>-10</v>
      </c>
      <c r="X82" s="961">
        <f>H66</f>
        <v>-15</v>
      </c>
      <c r="Y82" s="819"/>
      <c r="Z82" s="819"/>
      <c r="AA82" s="819"/>
      <c r="AB82" s="965"/>
      <c r="AC82" s="966"/>
      <c r="AD82" s="67"/>
      <c r="AE82" s="68"/>
      <c r="AF82" s="68"/>
    </row>
    <row r="83" spans="1:32" ht="18.75" customHeight="1" thickBot="1">
      <c r="A83" s="749">
        <v>999</v>
      </c>
      <c r="B83" s="729">
        <v>8</v>
      </c>
      <c r="C83" s="620">
        <v>35</v>
      </c>
      <c r="D83" s="568"/>
      <c r="E83" s="563"/>
      <c r="F83" s="750">
        <v>2</v>
      </c>
      <c r="G83" s="667">
        <v>8</v>
      </c>
      <c r="H83" s="751">
        <v>-5</v>
      </c>
      <c r="I83" s="597"/>
      <c r="J83" s="563"/>
      <c r="K83" s="738">
        <v>8</v>
      </c>
      <c r="L83" s="667"/>
      <c r="M83" s="680"/>
      <c r="P83" s="822"/>
      <c r="Q83" s="964"/>
      <c r="R83" s="808" t="s">
        <v>969</v>
      </c>
      <c r="S83" s="809">
        <v>1231</v>
      </c>
      <c r="T83" s="810" t="s">
        <v>819</v>
      </c>
      <c r="U83" s="811" t="s">
        <v>727</v>
      </c>
      <c r="V83" s="811" t="s">
        <v>727</v>
      </c>
      <c r="W83" s="811" t="s">
        <v>640</v>
      </c>
      <c r="X83" s="811" t="s">
        <v>640</v>
      </c>
      <c r="Y83" s="811" t="s">
        <v>467</v>
      </c>
      <c r="Z83" s="811" t="s">
        <v>616</v>
      </c>
      <c r="AA83" s="811" t="s">
        <v>581</v>
      </c>
      <c r="AB83" s="916"/>
      <c r="AC83" s="813"/>
      <c r="AD83" s="67"/>
      <c r="AE83" s="68"/>
      <c r="AF83" s="68"/>
    </row>
    <row r="84" spans="1:32" ht="18.75" customHeight="1" thickBot="1" thickTop="1">
      <c r="A84" s="584" t="s">
        <v>847</v>
      </c>
      <c r="B84" s="585"/>
      <c r="C84" s="586"/>
      <c r="D84" s="586"/>
      <c r="E84" s="563"/>
      <c r="F84" s="750">
        <v>10</v>
      </c>
      <c r="G84" s="625" t="s">
        <v>277</v>
      </c>
      <c r="H84" s="752">
        <v>-20</v>
      </c>
      <c r="I84" s="586"/>
      <c r="J84" s="563"/>
      <c r="K84" s="563"/>
      <c r="L84" s="563"/>
      <c r="M84" s="563"/>
      <c r="P84" s="822"/>
      <c r="Q84" s="964"/>
      <c r="R84" s="914" t="s">
        <v>669</v>
      </c>
      <c r="S84" s="815">
        <v>1232</v>
      </c>
      <c r="T84" s="967">
        <f>A77</f>
        <v>3</v>
      </c>
      <c r="U84" s="968">
        <f>A77</f>
        <v>3</v>
      </c>
      <c r="V84" s="968">
        <f>A78</f>
        <v>4</v>
      </c>
      <c r="W84" s="968">
        <f>A79</f>
        <v>7</v>
      </c>
      <c r="X84" s="968">
        <f>A80</f>
        <v>10</v>
      </c>
      <c r="Y84" s="969">
        <f>A81</f>
        <v>20</v>
      </c>
      <c r="Z84" s="969">
        <f>A82</f>
        <v>30</v>
      </c>
      <c r="AA84" s="970">
        <f>A83</f>
        <v>999</v>
      </c>
      <c r="AB84" s="820"/>
      <c r="AC84" s="821"/>
      <c r="AD84" s="67"/>
      <c r="AE84" s="68"/>
      <c r="AF84" s="68"/>
    </row>
    <row r="85" spans="1:33" ht="18.75" customHeight="1" thickTop="1">
      <c r="A85" s="587"/>
      <c r="B85" s="585"/>
      <c r="C85" s="586"/>
      <c r="D85" s="586"/>
      <c r="E85" s="563"/>
      <c r="F85" s="587"/>
      <c r="G85" s="585"/>
      <c r="H85" s="586"/>
      <c r="I85" s="586"/>
      <c r="J85" s="563"/>
      <c r="K85" s="563"/>
      <c r="L85" s="563"/>
      <c r="M85" s="563"/>
      <c r="P85" s="822"/>
      <c r="Q85" s="964"/>
      <c r="R85" s="914"/>
      <c r="S85" s="815">
        <v>1233</v>
      </c>
      <c r="T85" s="960">
        <f>C76</f>
        <v>0</v>
      </c>
      <c r="U85" s="961">
        <f>C77</f>
        <v>5</v>
      </c>
      <c r="V85" s="961">
        <f>C78</f>
        <v>10</v>
      </c>
      <c r="W85" s="961">
        <f>C79</f>
        <v>15</v>
      </c>
      <c r="X85" s="961">
        <f>C80</f>
        <v>20</v>
      </c>
      <c r="Y85" s="827">
        <f>C81</f>
        <v>25</v>
      </c>
      <c r="Z85" s="827">
        <f>C82</f>
        <v>30</v>
      </c>
      <c r="AA85" s="827">
        <f>C83</f>
        <v>35</v>
      </c>
      <c r="AB85" s="828"/>
      <c r="AC85" s="829"/>
      <c r="AD85" s="67"/>
      <c r="AE85" s="68"/>
      <c r="AF85" s="68"/>
      <c r="AG85" s="61"/>
    </row>
    <row r="86" spans="1:40" ht="18.75" customHeight="1">
      <c r="A86" s="563" t="s">
        <v>193</v>
      </c>
      <c r="B86" s="563"/>
      <c r="C86" s="563"/>
      <c r="D86" s="563"/>
      <c r="E86" s="563"/>
      <c r="F86" s="587"/>
      <c r="G86" s="585"/>
      <c r="H86" s="586"/>
      <c r="I86" s="586"/>
      <c r="J86" s="563"/>
      <c r="K86" s="563"/>
      <c r="L86" s="563"/>
      <c r="M86" s="563"/>
      <c r="O86" s="64"/>
      <c r="P86" s="822"/>
      <c r="Q86" s="964"/>
      <c r="R86" s="831" t="s">
        <v>1014</v>
      </c>
      <c r="S86" s="832">
        <v>1234</v>
      </c>
      <c r="T86" s="833">
        <f>ROUND((U85-T85)/(U84-0)*('比準演算'!P7-T84)+U85,1)</f>
        <v>9.2</v>
      </c>
      <c r="U86" s="834">
        <f>ROUND((V85-U85)/(V84-U84)*('比準演算'!P7-U84)+U85,1)</f>
        <v>17.5</v>
      </c>
      <c r="V86" s="834">
        <f>ROUND((W85-V85)/(W84-V84)*('比準演算'!P7-V84)+V85,1)</f>
        <v>12.5</v>
      </c>
      <c r="W86" s="834">
        <f>ROUND((X85-W85)/(X84-W84)*('比準演算'!P7-W84)+W85,1)</f>
        <v>12.5</v>
      </c>
      <c r="X86" s="834">
        <f>ROUND((Y85-X85)/(Y84-X84)*('比準演算'!P7-X84)+X85,1)</f>
        <v>17.8</v>
      </c>
      <c r="Y86" s="834">
        <f>ROUND((Z85-Y85)/(Z84-Y84)*('比準演算'!P7-Y84)+Y85,1)</f>
        <v>17.8</v>
      </c>
      <c r="Z86" s="834">
        <f>ROUND((AA85-Z85)/(AA84-Z84)*('比準演算'!P7-Z84)+Z85,1)</f>
        <v>29.9</v>
      </c>
      <c r="AA86" s="834" t="s">
        <v>669</v>
      </c>
      <c r="AB86" s="835"/>
      <c r="AC86" s="837"/>
      <c r="AG86" s="64"/>
      <c r="AJ86" s="61"/>
      <c r="AK86" s="61"/>
      <c r="AL86" s="61"/>
      <c r="AM86" s="61"/>
      <c r="AN86" s="61"/>
    </row>
    <row r="87" spans="1:41" ht="18.75" customHeight="1" thickBot="1">
      <c r="A87" s="753" t="str">
        <f>'演算data'!AF2</f>
        <v>最寄駅等の距離</v>
      </c>
      <c r="B87" s="346"/>
      <c r="C87" s="638" t="s">
        <v>995</v>
      </c>
      <c r="D87" s="565"/>
      <c r="E87" s="565"/>
      <c r="F87" s="753" t="str">
        <f>'演算data'!AH2</f>
        <v>商業施設の距離</v>
      </c>
      <c r="G87" s="346"/>
      <c r="H87" s="638" t="s">
        <v>995</v>
      </c>
      <c r="I87" s="565"/>
      <c r="J87" s="565"/>
      <c r="K87" s="753" t="str">
        <f>'演算data'!AJ2</f>
        <v>公共施設の距離</v>
      </c>
      <c r="L87" s="754"/>
      <c r="M87" s="589" t="s">
        <v>995</v>
      </c>
      <c r="O87" s="80"/>
      <c r="P87" s="838"/>
      <c r="Q87" s="847"/>
      <c r="R87" s="840" t="s">
        <v>1220</v>
      </c>
      <c r="S87" s="841">
        <v>1235</v>
      </c>
      <c r="T87" s="842">
        <f>ROUND((U85-T85)/(U84-0)*('比準演算'!P3-T84)+U85,1)</f>
        <v>5.8</v>
      </c>
      <c r="U87" s="843">
        <f>ROUND((V85-U85)/(V84-U84)*('比準演算'!P3-U84)+U85,1)</f>
        <v>7.5</v>
      </c>
      <c r="V87" s="843">
        <f>ROUND((W85-V85)/(W84-V84)*('比準演算'!P3-V84)+V85,1)</f>
        <v>9.2</v>
      </c>
      <c r="W87" s="843">
        <f>ROUND((X85-W85)/(X84-W84)*('比準演算'!P3-W84)+W85,1)</f>
        <v>9.2</v>
      </c>
      <c r="X87" s="843">
        <f>ROUND((Y85-X85)/(Y84-X84)*('比準演算'!P3-X84)+X85,1)</f>
        <v>16.8</v>
      </c>
      <c r="Y87" s="843">
        <f>ROUND((Z85-Y85)/(Z84-Y84)*('比準演算'!P3-Y84)+Y85,1)</f>
        <v>16.8</v>
      </c>
      <c r="Z87" s="843">
        <f>ROUND((AA85-Z85)/(AA84-Z84)*('比準演算'!P3-Z84)+Z85,1)</f>
        <v>29.9</v>
      </c>
      <c r="AA87" s="843" t="s">
        <v>669</v>
      </c>
      <c r="AB87" s="845"/>
      <c r="AC87" s="846"/>
      <c r="AG87" s="64"/>
      <c r="AJ87" s="64"/>
      <c r="AK87" s="64"/>
      <c r="AL87" s="64"/>
      <c r="AM87" s="64"/>
      <c r="AN87" s="64"/>
      <c r="AO87" s="61"/>
    </row>
    <row r="88" spans="1:41" ht="18.75" customHeight="1" thickTop="1">
      <c r="A88" s="591" t="s">
        <v>444</v>
      </c>
      <c r="B88" s="592" t="s">
        <v>601</v>
      </c>
      <c r="C88" s="593" t="s">
        <v>1001</v>
      </c>
      <c r="D88" s="568"/>
      <c r="E88" s="563"/>
      <c r="F88" s="591" t="s">
        <v>444</v>
      </c>
      <c r="G88" s="592" t="s">
        <v>601</v>
      </c>
      <c r="H88" s="593" t="s">
        <v>1001</v>
      </c>
      <c r="I88" s="568"/>
      <c r="J88" s="563"/>
      <c r="K88" s="591" t="s">
        <v>444</v>
      </c>
      <c r="L88" s="592" t="s">
        <v>601</v>
      </c>
      <c r="M88" s="593" t="s">
        <v>1001</v>
      </c>
      <c r="O88" s="80"/>
      <c r="P88" s="838"/>
      <c r="Q88" s="847"/>
      <c r="R88" s="848" t="s">
        <v>734</v>
      </c>
      <c r="S88" s="849">
        <v>1241</v>
      </c>
      <c r="T88" s="850" t="s">
        <v>819</v>
      </c>
      <c r="U88" s="851" t="s">
        <v>727</v>
      </c>
      <c r="V88" s="851" t="s">
        <v>727</v>
      </c>
      <c r="W88" s="851" t="s">
        <v>640</v>
      </c>
      <c r="X88" s="851" t="s">
        <v>467</v>
      </c>
      <c r="Y88" s="851" t="s">
        <v>727</v>
      </c>
      <c r="Z88" s="851" t="s">
        <v>727</v>
      </c>
      <c r="AA88" s="851" t="s">
        <v>819</v>
      </c>
      <c r="AB88" s="851" t="s">
        <v>581</v>
      </c>
      <c r="AC88" s="854"/>
      <c r="AD88" s="67"/>
      <c r="AE88" s="68"/>
      <c r="AF88" s="68"/>
      <c r="AG88" s="81"/>
      <c r="AJ88" s="64"/>
      <c r="AK88" s="64"/>
      <c r="AL88" s="64"/>
      <c r="AM88" s="64"/>
      <c r="AN88" s="64"/>
      <c r="AO88" s="64"/>
    </row>
    <row r="89" spans="1:44" ht="18.75" customHeight="1">
      <c r="A89" s="755">
        <v>0</v>
      </c>
      <c r="B89" s="335">
        <v>1</v>
      </c>
      <c r="C89" s="600">
        <v>0</v>
      </c>
      <c r="D89" s="597"/>
      <c r="E89" s="563"/>
      <c r="F89" s="755">
        <v>0</v>
      </c>
      <c r="G89" s="335">
        <v>1</v>
      </c>
      <c r="H89" s="600">
        <v>0</v>
      </c>
      <c r="I89" s="597"/>
      <c r="J89" s="563"/>
      <c r="K89" s="755">
        <v>0</v>
      </c>
      <c r="L89" s="335">
        <v>1</v>
      </c>
      <c r="M89" s="600">
        <v>0</v>
      </c>
      <c r="N89" s="663"/>
      <c r="O89" s="80"/>
      <c r="P89" s="838"/>
      <c r="Q89" s="847"/>
      <c r="R89" s="879" t="s">
        <v>669</v>
      </c>
      <c r="S89" s="856">
        <v>1242</v>
      </c>
      <c r="T89" s="923">
        <f>F76</f>
        <v>-3</v>
      </c>
      <c r="U89" s="875">
        <f>F77</f>
        <v>-1</v>
      </c>
      <c r="V89" s="875">
        <f>F78</f>
        <v>-0.1</v>
      </c>
      <c r="W89" s="875">
        <f>F79</f>
        <v>0</v>
      </c>
      <c r="X89" s="875">
        <f>F80</f>
        <v>0.8</v>
      </c>
      <c r="Y89" s="971">
        <f>F81</f>
        <v>1.2</v>
      </c>
      <c r="Z89" s="971">
        <f>F82</f>
        <v>1.5</v>
      </c>
      <c r="AA89" s="971">
        <f>F83</f>
        <v>2</v>
      </c>
      <c r="AB89" s="972">
        <f>F84</f>
        <v>10</v>
      </c>
      <c r="AC89" s="863"/>
      <c r="AD89" s="67"/>
      <c r="AE89" s="68"/>
      <c r="AF89" s="68"/>
      <c r="AG89" s="81"/>
      <c r="AI89" s="61"/>
      <c r="AJ89" s="81"/>
      <c r="AK89" s="81"/>
      <c r="AL89" s="81"/>
      <c r="AM89" s="81"/>
      <c r="AN89" s="81"/>
      <c r="AO89" s="64"/>
      <c r="AP89" s="61"/>
      <c r="AQ89" s="61"/>
      <c r="AR89" s="61"/>
    </row>
    <row r="90" spans="1:44" s="61" customFormat="1" ht="18.75" customHeight="1">
      <c r="A90" s="756">
        <v>500</v>
      </c>
      <c r="B90" s="335">
        <v>2</v>
      </c>
      <c r="C90" s="617">
        <v>-20</v>
      </c>
      <c r="D90" s="631"/>
      <c r="E90" s="563"/>
      <c r="F90" s="756">
        <v>500</v>
      </c>
      <c r="G90" s="335">
        <v>2</v>
      </c>
      <c r="H90" s="617">
        <v>-10</v>
      </c>
      <c r="I90" s="631"/>
      <c r="J90" s="563"/>
      <c r="K90" s="756">
        <v>500</v>
      </c>
      <c r="L90" s="335">
        <v>2</v>
      </c>
      <c r="M90" s="617">
        <v>-10</v>
      </c>
      <c r="N90" s="663"/>
      <c r="O90" s="64"/>
      <c r="P90" s="838"/>
      <c r="Q90" s="847"/>
      <c r="R90" s="879"/>
      <c r="S90" s="896">
        <v>1243</v>
      </c>
      <c r="T90" s="881">
        <f>H76</f>
        <v>-30</v>
      </c>
      <c r="U90" s="882">
        <f>H77</f>
        <v>-20</v>
      </c>
      <c r="V90" s="882">
        <f>H78</f>
        <v>-5</v>
      </c>
      <c r="W90" s="882">
        <f>H79</f>
        <v>0</v>
      </c>
      <c r="X90" s="882">
        <f>H80</f>
        <v>2</v>
      </c>
      <c r="Y90" s="890">
        <f>H81</f>
        <v>-2</v>
      </c>
      <c r="Z90" s="890">
        <f>H82</f>
        <v>-3</v>
      </c>
      <c r="AA90" s="890">
        <f>H83</f>
        <v>-5</v>
      </c>
      <c r="AB90" s="890">
        <f>H84</f>
        <v>-20</v>
      </c>
      <c r="AC90" s="854"/>
      <c r="AD90" s="67"/>
      <c r="AE90" s="68"/>
      <c r="AF90" s="68"/>
      <c r="AG90" s="81"/>
      <c r="AH90" s="60"/>
      <c r="AI90" s="64"/>
      <c r="AJ90" s="81"/>
      <c r="AK90" s="81"/>
      <c r="AL90" s="81"/>
      <c r="AM90" s="81"/>
      <c r="AN90" s="81"/>
      <c r="AO90" s="81"/>
      <c r="AP90" s="64"/>
      <c r="AQ90" s="64"/>
      <c r="AR90" s="64"/>
    </row>
    <row r="91" spans="1:41" s="64" customFormat="1" ht="18.75" customHeight="1">
      <c r="A91" s="756">
        <v>1000</v>
      </c>
      <c r="B91" s="335">
        <v>3</v>
      </c>
      <c r="C91" s="617">
        <v>-30</v>
      </c>
      <c r="D91" s="631"/>
      <c r="E91" s="563"/>
      <c r="F91" s="756">
        <v>1000</v>
      </c>
      <c r="G91" s="335">
        <v>3</v>
      </c>
      <c r="H91" s="617">
        <v>-15</v>
      </c>
      <c r="I91" s="631"/>
      <c r="J91" s="563"/>
      <c r="K91" s="756">
        <v>1000</v>
      </c>
      <c r="L91" s="335">
        <v>3</v>
      </c>
      <c r="M91" s="617">
        <v>-15</v>
      </c>
      <c r="N91" s="663"/>
      <c r="P91" s="838"/>
      <c r="Q91" s="847"/>
      <c r="R91" s="831" t="s">
        <v>1014</v>
      </c>
      <c r="S91" s="832">
        <v>1244</v>
      </c>
      <c r="T91" s="833">
        <f>ROUND((U90-T90)/(U89-0)*('比準演算'!Q7-T89)+U90,1)</f>
        <v>-50</v>
      </c>
      <c r="U91" s="834">
        <f>ROUND((V90-U90)/(V89-U89)*('比準演算'!Q7-U89)+U90,1)</f>
        <v>-3.3</v>
      </c>
      <c r="V91" s="834">
        <f>ROUND((W90-V90)/(W89-V89)*('比準演算'!Q7-V89)+V90,1)</f>
        <v>0</v>
      </c>
      <c r="W91" s="834">
        <f>ROUND((X90-W90)/(X89-W89)*('比準演算'!Q7-W89)+W90,1)</f>
        <v>0</v>
      </c>
      <c r="X91" s="834">
        <f>ROUND((Y90-X90)/(Y89-X89)*('比準演算'!Q7-X89)+X90,1)</f>
        <v>10</v>
      </c>
      <c r="Y91" s="834">
        <f>ROUND((Z90-Y90)/(Z89-Y89)*('比準演算'!Q7-Y89)+Y90,1)</f>
        <v>2</v>
      </c>
      <c r="Z91" s="834">
        <f>ROUND((AA90-Z90)/(AA89-Z89)*('比準演算'!Q7-Z89)+Z90,1)</f>
        <v>3</v>
      </c>
      <c r="AA91" s="834">
        <f>ROUND((AB90-AA90)/(AB89-AA89)*('比準演算'!Q7-AA89)+AA90,1)</f>
        <v>-1.3</v>
      </c>
      <c r="AB91" s="835"/>
      <c r="AC91" s="837"/>
      <c r="AD91" s="62"/>
      <c r="AE91" s="62"/>
      <c r="AF91" s="62"/>
      <c r="AG91" s="81"/>
      <c r="AH91" s="61"/>
      <c r="AJ91" s="81"/>
      <c r="AK91" s="81"/>
      <c r="AL91" s="81"/>
      <c r="AM91" s="81"/>
      <c r="AN91" s="81"/>
      <c r="AO91" s="81"/>
    </row>
    <row r="92" spans="1:44" s="64" customFormat="1" ht="18.75" customHeight="1">
      <c r="A92" s="756">
        <v>2000</v>
      </c>
      <c r="B92" s="335">
        <v>4</v>
      </c>
      <c r="C92" s="617">
        <v>-35</v>
      </c>
      <c r="D92" s="631"/>
      <c r="E92" s="563"/>
      <c r="F92" s="756">
        <v>2000</v>
      </c>
      <c r="G92" s="335">
        <v>4</v>
      </c>
      <c r="H92" s="617">
        <v>-20</v>
      </c>
      <c r="I92" s="631"/>
      <c r="J92" s="563"/>
      <c r="K92" s="756">
        <v>2000</v>
      </c>
      <c r="L92" s="335">
        <v>4</v>
      </c>
      <c r="M92" s="617">
        <v>-20</v>
      </c>
      <c r="N92" s="663"/>
      <c r="P92" s="838"/>
      <c r="Q92" s="847"/>
      <c r="R92" s="840" t="s">
        <v>1220</v>
      </c>
      <c r="S92" s="841">
        <v>1245</v>
      </c>
      <c r="T92" s="842">
        <f>ROUND((U90-T90)/(U89-0)*('比準演算'!Q3-T89)+U90,1)</f>
        <v>-50</v>
      </c>
      <c r="U92" s="843">
        <f>ROUND((V90-U90)/(V89-U89)*('比準演算'!Q3-U89)+U90,1)</f>
        <v>-3.3</v>
      </c>
      <c r="V92" s="843">
        <f>ROUND((W90-V90)/(W89-V89)*('比準演算'!Q3-V89)+V90,1)</f>
        <v>0</v>
      </c>
      <c r="W92" s="843">
        <f>ROUND((X90-W90)/(X89-W89)*('比準演算'!Q3-W89)+W90,1)</f>
        <v>0</v>
      </c>
      <c r="X92" s="843">
        <f>ROUND((Y90-X90)/(Y89-X89)*('比準演算'!Q3-X89)+X90,1)</f>
        <v>10</v>
      </c>
      <c r="Y92" s="843">
        <f>ROUND((Z90-Y90)/(Z89-Y89)*('比準演算'!Q3-Y89)+Y90,1)</f>
        <v>2</v>
      </c>
      <c r="Z92" s="843">
        <f>ROUND((AA90-Z90)/(AA89-Z89)*('比準演算'!Q3-Z89)+Z90,1)</f>
        <v>3</v>
      </c>
      <c r="AA92" s="843">
        <f>ROUND((AB90-AA90)/(AB89-AA89)*('比準演算'!Q3-AA89)+AA90,1)</f>
        <v>-1.3</v>
      </c>
      <c r="AB92" s="845"/>
      <c r="AC92" s="846"/>
      <c r="AD92" s="62"/>
      <c r="AE92" s="62"/>
      <c r="AF92" s="62"/>
      <c r="AG92" s="81"/>
      <c r="AI92" s="81"/>
      <c r="AJ92" s="81"/>
      <c r="AK92" s="81"/>
      <c r="AL92" s="81"/>
      <c r="AM92" s="81"/>
      <c r="AN92" s="81"/>
      <c r="AO92" s="81"/>
      <c r="AP92" s="81"/>
      <c r="AQ92" s="81"/>
      <c r="AR92" s="81"/>
    </row>
    <row r="93" spans="1:34" s="81" customFormat="1" ht="18.75" customHeight="1">
      <c r="A93" s="756">
        <v>6000</v>
      </c>
      <c r="B93" s="335">
        <v>5</v>
      </c>
      <c r="C93" s="617">
        <v>-40</v>
      </c>
      <c r="D93" s="631"/>
      <c r="E93" s="563"/>
      <c r="F93" s="756">
        <v>4000</v>
      </c>
      <c r="G93" s="335">
        <v>5</v>
      </c>
      <c r="H93" s="617">
        <v>-25</v>
      </c>
      <c r="I93" s="631"/>
      <c r="J93" s="563"/>
      <c r="K93" s="756">
        <v>4000</v>
      </c>
      <c r="L93" s="335">
        <v>5</v>
      </c>
      <c r="M93" s="617">
        <v>-25</v>
      </c>
      <c r="N93" s="663"/>
      <c r="O93" s="64"/>
      <c r="P93" s="838"/>
      <c r="Q93" s="847" t="s">
        <v>669</v>
      </c>
      <c r="R93" s="848" t="s">
        <v>1336</v>
      </c>
      <c r="S93" s="856">
        <v>1251</v>
      </c>
      <c r="T93" s="851" t="s">
        <v>640</v>
      </c>
      <c r="U93" s="851" t="s">
        <v>640</v>
      </c>
      <c r="V93" s="851" t="s">
        <v>616</v>
      </c>
      <c r="W93" s="851" t="s">
        <v>669</v>
      </c>
      <c r="X93" s="851" t="s">
        <v>669</v>
      </c>
      <c r="Y93" s="852"/>
      <c r="Z93" s="852"/>
      <c r="AA93" s="852"/>
      <c r="AB93" s="853"/>
      <c r="AC93" s="854"/>
      <c r="AD93" s="67"/>
      <c r="AE93" s="68"/>
      <c r="AF93" s="68"/>
      <c r="AH93" s="64"/>
    </row>
    <row r="94" spans="1:32" s="81" customFormat="1" ht="18.75" customHeight="1">
      <c r="A94" s="756">
        <v>10000</v>
      </c>
      <c r="B94" s="335">
        <v>6</v>
      </c>
      <c r="C94" s="617">
        <v>-45</v>
      </c>
      <c r="D94" s="631"/>
      <c r="E94" s="563"/>
      <c r="F94" s="756">
        <v>10000</v>
      </c>
      <c r="G94" s="335">
        <v>6</v>
      </c>
      <c r="H94" s="617">
        <v>-30</v>
      </c>
      <c r="I94" s="631"/>
      <c r="J94" s="563"/>
      <c r="K94" s="756">
        <v>10000</v>
      </c>
      <c r="L94" s="335">
        <v>6</v>
      </c>
      <c r="M94" s="617">
        <v>-30</v>
      </c>
      <c r="N94" s="663"/>
      <c r="O94" s="61"/>
      <c r="P94" s="838"/>
      <c r="Q94" s="847"/>
      <c r="R94" s="879" t="s">
        <v>669</v>
      </c>
      <c r="S94" s="856">
        <v>1252</v>
      </c>
      <c r="T94" s="937" t="str">
        <f>L62</f>
        <v>　</v>
      </c>
      <c r="U94" s="878" t="str">
        <f>L63</f>
        <v>無し</v>
      </c>
      <c r="V94" s="878" t="str">
        <f>L64</f>
        <v>有り</v>
      </c>
      <c r="W94" s="878" t="s">
        <v>997</v>
      </c>
      <c r="X94" s="878" t="s">
        <v>997</v>
      </c>
      <c r="Y94" s="861"/>
      <c r="Z94" s="861"/>
      <c r="AA94" s="861"/>
      <c r="AB94" s="862"/>
      <c r="AC94" s="863"/>
      <c r="AD94" s="67"/>
      <c r="AE94" s="68"/>
      <c r="AF94" s="68"/>
    </row>
    <row r="95" spans="1:32" s="81" customFormat="1" ht="18.75" customHeight="1">
      <c r="A95" s="756">
        <v>20000</v>
      </c>
      <c r="B95" s="335">
        <v>7</v>
      </c>
      <c r="C95" s="617">
        <v>-50</v>
      </c>
      <c r="D95" s="631"/>
      <c r="E95" s="563"/>
      <c r="F95" s="756">
        <v>20000</v>
      </c>
      <c r="G95" s="335">
        <v>7</v>
      </c>
      <c r="H95" s="617">
        <v>-35</v>
      </c>
      <c r="I95" s="631"/>
      <c r="J95" s="563"/>
      <c r="K95" s="756">
        <v>20000</v>
      </c>
      <c r="L95" s="335">
        <v>7</v>
      </c>
      <c r="M95" s="617">
        <v>-35</v>
      </c>
      <c r="N95" s="663"/>
      <c r="O95" s="61"/>
      <c r="P95" s="838"/>
      <c r="Q95" s="847"/>
      <c r="R95" s="879"/>
      <c r="S95" s="856">
        <v>1253</v>
      </c>
      <c r="T95" s="881">
        <f>M62</f>
        <v>0</v>
      </c>
      <c r="U95" s="882">
        <f>M63</f>
        <v>0</v>
      </c>
      <c r="V95" s="882">
        <f>M64</f>
        <v>2</v>
      </c>
      <c r="W95" s="882" t="s">
        <v>997</v>
      </c>
      <c r="X95" s="882" t="s">
        <v>997</v>
      </c>
      <c r="Y95" s="947"/>
      <c r="Z95" s="947"/>
      <c r="AA95" s="947"/>
      <c r="AB95" s="928"/>
      <c r="AC95" s="884"/>
      <c r="AD95" s="67"/>
      <c r="AE95" s="68"/>
      <c r="AF95" s="68"/>
    </row>
    <row r="96" spans="1:32" s="81" customFormat="1" ht="18.75" customHeight="1" thickBot="1">
      <c r="A96" s="757">
        <v>999999</v>
      </c>
      <c r="B96" s="729">
        <v>8</v>
      </c>
      <c r="C96" s="680">
        <v>-55</v>
      </c>
      <c r="D96" s="631"/>
      <c r="E96" s="563"/>
      <c r="F96" s="757">
        <v>999999</v>
      </c>
      <c r="G96" s="729">
        <v>8</v>
      </c>
      <c r="H96" s="680">
        <v>-40</v>
      </c>
      <c r="I96" s="631"/>
      <c r="J96" s="563"/>
      <c r="K96" s="757">
        <v>999999</v>
      </c>
      <c r="L96" s="729">
        <v>8</v>
      </c>
      <c r="M96" s="680">
        <v>-40</v>
      </c>
      <c r="N96" s="663"/>
      <c r="O96" s="61"/>
      <c r="P96" s="838"/>
      <c r="Q96" s="847"/>
      <c r="R96" s="848" t="s">
        <v>764</v>
      </c>
      <c r="S96" s="849">
        <v>1261</v>
      </c>
      <c r="T96" s="850" t="s">
        <v>819</v>
      </c>
      <c r="U96" s="851" t="s">
        <v>640</v>
      </c>
      <c r="V96" s="851" t="s">
        <v>640</v>
      </c>
      <c r="W96" s="851" t="s">
        <v>997</v>
      </c>
      <c r="X96" s="851" t="s">
        <v>997</v>
      </c>
      <c r="Y96" s="852"/>
      <c r="Z96" s="852"/>
      <c r="AA96" s="852"/>
      <c r="AB96" s="853"/>
      <c r="AC96" s="854"/>
      <c r="AD96" s="67"/>
      <c r="AE96" s="68"/>
      <c r="AF96" s="68"/>
    </row>
    <row r="97" spans="1:32" s="81" customFormat="1" ht="18.75" customHeight="1" thickTop="1">
      <c r="A97" s="563" t="s">
        <v>530</v>
      </c>
      <c r="B97" s="563"/>
      <c r="C97" s="563"/>
      <c r="D97" s="563"/>
      <c r="E97" s="563"/>
      <c r="F97" s="563" t="s">
        <v>530</v>
      </c>
      <c r="G97" s="563"/>
      <c r="H97" s="563"/>
      <c r="I97" s="563"/>
      <c r="J97" s="563"/>
      <c r="K97" s="563" t="s">
        <v>530</v>
      </c>
      <c r="L97" s="563"/>
      <c r="M97" s="563"/>
      <c r="N97" s="663"/>
      <c r="O97" s="61"/>
      <c r="P97" s="838"/>
      <c r="Q97" s="847"/>
      <c r="R97" s="879" t="s">
        <v>669</v>
      </c>
      <c r="S97" s="856">
        <v>1262</v>
      </c>
      <c r="T97" s="937" t="str">
        <f>L69</f>
        <v>未舗装</v>
      </c>
      <c r="U97" s="878" t="str">
        <f>L70</f>
        <v>アスファルト</v>
      </c>
      <c r="V97" s="878" t="str">
        <f>L71</f>
        <v>コンクリート</v>
      </c>
      <c r="W97" s="878" t="s">
        <v>997</v>
      </c>
      <c r="X97" s="878" t="s">
        <v>997</v>
      </c>
      <c r="Y97" s="861"/>
      <c r="Z97" s="861"/>
      <c r="AA97" s="861"/>
      <c r="AB97" s="862"/>
      <c r="AC97" s="863"/>
      <c r="AD97" s="67"/>
      <c r="AE97" s="68"/>
      <c r="AF97" s="68"/>
    </row>
    <row r="98" spans="1:32" s="81" customFormat="1" ht="18.75" customHeight="1">
      <c r="A98" s="563"/>
      <c r="B98" s="563"/>
      <c r="C98" s="563"/>
      <c r="D98" s="563"/>
      <c r="E98" s="563"/>
      <c r="F98" s="563"/>
      <c r="G98" s="563"/>
      <c r="H98" s="563"/>
      <c r="I98" s="563"/>
      <c r="J98" s="563"/>
      <c r="K98" s="563"/>
      <c r="L98" s="563"/>
      <c r="M98" s="563"/>
      <c r="N98" s="758"/>
      <c r="O98" s="61"/>
      <c r="P98" s="838"/>
      <c r="Q98" s="847"/>
      <c r="R98" s="919"/>
      <c r="S98" s="880">
        <v>1263</v>
      </c>
      <c r="T98" s="881">
        <f>M69</f>
        <v>0</v>
      </c>
      <c r="U98" s="882">
        <v>2</v>
      </c>
      <c r="V98" s="882">
        <v>2</v>
      </c>
      <c r="W98" s="882" t="s">
        <v>997</v>
      </c>
      <c r="X98" s="882" t="s">
        <v>997</v>
      </c>
      <c r="Y98" s="861"/>
      <c r="Z98" s="861"/>
      <c r="AA98" s="861"/>
      <c r="AB98" s="928"/>
      <c r="AC98" s="884"/>
      <c r="AD98" s="67"/>
      <c r="AE98" s="68"/>
      <c r="AF98" s="68"/>
    </row>
    <row r="99" spans="1:33" s="81" customFormat="1" ht="18.75" customHeight="1" thickBot="1">
      <c r="A99" s="753" t="str">
        <f>'演算data'!AL2</f>
        <v>圏域中心の距離</v>
      </c>
      <c r="B99" s="346"/>
      <c r="C99" s="638" t="s">
        <v>995</v>
      </c>
      <c r="D99" s="565"/>
      <c r="E99" s="565"/>
      <c r="F99" s="565" t="s">
        <v>1151</v>
      </c>
      <c r="G99" s="565"/>
      <c r="H99" s="565"/>
      <c r="I99" s="565"/>
      <c r="J99" s="565"/>
      <c r="K99" s="565" t="s">
        <v>1151</v>
      </c>
      <c r="L99" s="565"/>
      <c r="M99" s="565"/>
      <c r="N99" s="758"/>
      <c r="O99" s="61"/>
      <c r="P99" s="838"/>
      <c r="Q99" s="847"/>
      <c r="R99" s="879" t="s">
        <v>974</v>
      </c>
      <c r="S99" s="856">
        <v>1271</v>
      </c>
      <c r="T99" s="850" t="s">
        <v>640</v>
      </c>
      <c r="U99" s="851" t="s">
        <v>727</v>
      </c>
      <c r="V99" s="851" t="s">
        <v>819</v>
      </c>
      <c r="W99" s="851" t="s">
        <v>820</v>
      </c>
      <c r="X99" s="851" t="s">
        <v>731</v>
      </c>
      <c r="Y99" s="852"/>
      <c r="Z99" s="852"/>
      <c r="AA99" s="852"/>
      <c r="AB99" s="851"/>
      <c r="AC99" s="940"/>
      <c r="AD99" s="67"/>
      <c r="AE99" s="68"/>
      <c r="AF99" s="68"/>
      <c r="AG99" s="60"/>
    </row>
    <row r="100" spans="1:33" s="81" customFormat="1" ht="18.75" customHeight="1" thickTop="1">
      <c r="A100" s="591" t="s">
        <v>444</v>
      </c>
      <c r="B100" s="592" t="s">
        <v>601</v>
      </c>
      <c r="C100" s="593" t="s">
        <v>1001</v>
      </c>
      <c r="D100" s="568"/>
      <c r="E100" s="563"/>
      <c r="F100" s="591" t="s">
        <v>444</v>
      </c>
      <c r="G100" s="592" t="s">
        <v>601</v>
      </c>
      <c r="H100" s="593" t="s">
        <v>1001</v>
      </c>
      <c r="I100" s="568"/>
      <c r="J100" s="563"/>
      <c r="K100" s="591" t="s">
        <v>444</v>
      </c>
      <c r="L100" s="592" t="s">
        <v>601</v>
      </c>
      <c r="M100" s="593" t="s">
        <v>1001</v>
      </c>
      <c r="N100" s="758"/>
      <c r="O100" s="61"/>
      <c r="P100" s="838"/>
      <c r="Q100" s="847"/>
      <c r="R100" s="879"/>
      <c r="S100" s="856">
        <v>1272</v>
      </c>
      <c r="T100" s="941"/>
      <c r="U100" s="942"/>
      <c r="V100" s="942"/>
      <c r="W100" s="942"/>
      <c r="X100" s="942"/>
      <c r="Y100" s="861"/>
      <c r="Z100" s="861"/>
      <c r="AA100" s="861"/>
      <c r="AB100" s="878"/>
      <c r="AC100" s="943"/>
      <c r="AD100" s="67"/>
      <c r="AE100" s="68"/>
      <c r="AF100" s="68"/>
      <c r="AG100" s="60"/>
    </row>
    <row r="101" spans="1:33" s="81" customFormat="1" ht="18.75" customHeight="1">
      <c r="A101" s="755">
        <v>0</v>
      </c>
      <c r="B101" s="335">
        <v>1</v>
      </c>
      <c r="C101" s="600">
        <v>0</v>
      </c>
      <c r="D101" s="597"/>
      <c r="E101" s="563"/>
      <c r="F101" s="755">
        <v>0</v>
      </c>
      <c r="G101" s="335">
        <v>1</v>
      </c>
      <c r="H101" s="600">
        <v>0</v>
      </c>
      <c r="I101" s="597"/>
      <c r="J101" s="563"/>
      <c r="K101" s="755">
        <v>0</v>
      </c>
      <c r="L101" s="335">
        <v>1</v>
      </c>
      <c r="M101" s="600">
        <v>0</v>
      </c>
      <c r="N101" s="758"/>
      <c r="O101" s="61"/>
      <c r="P101" s="838"/>
      <c r="Q101" s="847"/>
      <c r="R101" s="919"/>
      <c r="S101" s="880">
        <v>1273</v>
      </c>
      <c r="T101" s="973"/>
      <c r="U101" s="974"/>
      <c r="V101" s="974"/>
      <c r="W101" s="974"/>
      <c r="X101" s="974"/>
      <c r="Y101" s="947"/>
      <c r="Z101" s="947"/>
      <c r="AA101" s="947"/>
      <c r="AB101" s="928"/>
      <c r="AC101" s="884"/>
      <c r="AD101" s="67"/>
      <c r="AE101" s="68"/>
      <c r="AF101" s="68"/>
      <c r="AG101" s="60"/>
    </row>
    <row r="102" spans="1:33" s="81" customFormat="1" ht="18.75" customHeight="1">
      <c r="A102" s="756">
        <v>250</v>
      </c>
      <c r="B102" s="335">
        <v>2</v>
      </c>
      <c r="C102" s="617">
        <v>-30</v>
      </c>
      <c r="D102" s="631"/>
      <c r="E102" s="563"/>
      <c r="F102" s="756">
        <v>250</v>
      </c>
      <c r="G102" s="335">
        <v>2</v>
      </c>
      <c r="H102" s="617">
        <v>-5</v>
      </c>
      <c r="I102" s="631"/>
      <c r="J102" s="563"/>
      <c r="K102" s="756">
        <v>250</v>
      </c>
      <c r="L102" s="335">
        <v>2</v>
      </c>
      <c r="M102" s="617">
        <v>-5</v>
      </c>
      <c r="N102" s="758"/>
      <c r="O102" s="61"/>
      <c r="P102" s="838"/>
      <c r="Q102" s="847"/>
      <c r="R102" s="879" t="s">
        <v>974</v>
      </c>
      <c r="S102" s="856">
        <v>1281</v>
      </c>
      <c r="T102" s="897" t="s">
        <v>640</v>
      </c>
      <c r="U102" s="853" t="s">
        <v>727</v>
      </c>
      <c r="V102" s="853" t="s">
        <v>819</v>
      </c>
      <c r="W102" s="853" t="s">
        <v>820</v>
      </c>
      <c r="X102" s="853" t="s">
        <v>731</v>
      </c>
      <c r="Y102" s="868"/>
      <c r="Z102" s="868"/>
      <c r="AA102" s="868"/>
      <c r="AB102" s="853"/>
      <c r="AC102" s="854"/>
      <c r="AD102" s="67"/>
      <c r="AE102" s="68"/>
      <c r="AF102" s="68"/>
      <c r="AG102" s="60"/>
    </row>
    <row r="103" spans="1:33" s="81" customFormat="1" ht="18.75" customHeight="1">
      <c r="A103" s="756">
        <v>500</v>
      </c>
      <c r="B103" s="335">
        <v>3</v>
      </c>
      <c r="C103" s="617">
        <v>-45</v>
      </c>
      <c r="D103" s="631"/>
      <c r="E103" s="563"/>
      <c r="F103" s="756">
        <v>500</v>
      </c>
      <c r="G103" s="335">
        <v>3</v>
      </c>
      <c r="H103" s="617">
        <v>-10</v>
      </c>
      <c r="I103" s="631"/>
      <c r="J103" s="563"/>
      <c r="K103" s="756">
        <v>500</v>
      </c>
      <c r="L103" s="335">
        <v>3</v>
      </c>
      <c r="M103" s="617">
        <v>-10</v>
      </c>
      <c r="N103" s="758"/>
      <c r="O103" s="61"/>
      <c r="P103" s="838"/>
      <c r="Q103" s="847"/>
      <c r="R103" s="879"/>
      <c r="S103" s="856">
        <v>1282</v>
      </c>
      <c r="T103" s="941"/>
      <c r="U103" s="942"/>
      <c r="V103" s="942"/>
      <c r="W103" s="942"/>
      <c r="X103" s="942"/>
      <c r="Y103" s="861"/>
      <c r="Z103" s="861"/>
      <c r="AA103" s="861"/>
      <c r="AB103" s="878"/>
      <c r="AC103" s="943"/>
      <c r="AD103" s="67"/>
      <c r="AE103" s="68"/>
      <c r="AF103" s="68"/>
      <c r="AG103" s="60"/>
    </row>
    <row r="104" spans="1:33" s="81" customFormat="1" ht="18.75" customHeight="1">
      <c r="A104" s="756">
        <v>1000</v>
      </c>
      <c r="B104" s="335">
        <v>4</v>
      </c>
      <c r="C104" s="617">
        <v>-55</v>
      </c>
      <c r="D104" s="631"/>
      <c r="E104" s="563"/>
      <c r="F104" s="756">
        <v>1000</v>
      </c>
      <c r="G104" s="335">
        <v>4</v>
      </c>
      <c r="H104" s="617">
        <v>-15</v>
      </c>
      <c r="I104" s="631"/>
      <c r="J104" s="563"/>
      <c r="K104" s="756">
        <v>1000</v>
      </c>
      <c r="L104" s="335">
        <v>4</v>
      </c>
      <c r="M104" s="617">
        <v>-15</v>
      </c>
      <c r="N104" s="758"/>
      <c r="O104" s="61"/>
      <c r="P104" s="838"/>
      <c r="Q104" s="847"/>
      <c r="R104" s="919"/>
      <c r="S104" s="880">
        <v>1283</v>
      </c>
      <c r="T104" s="973"/>
      <c r="U104" s="974"/>
      <c r="V104" s="974"/>
      <c r="W104" s="974"/>
      <c r="X104" s="974"/>
      <c r="Y104" s="947"/>
      <c r="Z104" s="947"/>
      <c r="AA104" s="947"/>
      <c r="AB104" s="928"/>
      <c r="AC104" s="884"/>
      <c r="AD104" s="67"/>
      <c r="AE104" s="68"/>
      <c r="AF104" s="68"/>
      <c r="AG104" s="60"/>
    </row>
    <row r="105" spans="1:33" s="81" customFormat="1" ht="18.75" customHeight="1">
      <c r="A105" s="756">
        <v>2000</v>
      </c>
      <c r="B105" s="335">
        <v>5</v>
      </c>
      <c r="C105" s="617">
        <v>-60</v>
      </c>
      <c r="D105" s="631"/>
      <c r="E105" s="563"/>
      <c r="F105" s="756">
        <v>2000</v>
      </c>
      <c r="G105" s="335">
        <v>5</v>
      </c>
      <c r="H105" s="617">
        <v>-20</v>
      </c>
      <c r="I105" s="631"/>
      <c r="J105" s="563"/>
      <c r="K105" s="756">
        <v>2000</v>
      </c>
      <c r="L105" s="335">
        <v>5</v>
      </c>
      <c r="M105" s="617">
        <v>-20</v>
      </c>
      <c r="N105" s="758"/>
      <c r="O105" s="61"/>
      <c r="P105" s="838"/>
      <c r="Q105" s="847"/>
      <c r="R105" s="879" t="s">
        <v>974</v>
      </c>
      <c r="S105" s="856">
        <v>1291</v>
      </c>
      <c r="T105" s="897" t="s">
        <v>640</v>
      </c>
      <c r="U105" s="853" t="s">
        <v>727</v>
      </c>
      <c r="V105" s="853" t="s">
        <v>819</v>
      </c>
      <c r="W105" s="853" t="s">
        <v>820</v>
      </c>
      <c r="X105" s="853" t="s">
        <v>731</v>
      </c>
      <c r="Y105" s="868"/>
      <c r="Z105" s="868"/>
      <c r="AA105" s="868"/>
      <c r="AB105" s="853"/>
      <c r="AC105" s="854"/>
      <c r="AD105" s="67"/>
      <c r="AE105" s="68"/>
      <c r="AF105" s="68"/>
      <c r="AG105" s="60"/>
    </row>
    <row r="106" spans="1:34" s="81" customFormat="1" ht="18.75" customHeight="1">
      <c r="A106" s="756">
        <v>4000</v>
      </c>
      <c r="B106" s="335">
        <v>6</v>
      </c>
      <c r="C106" s="617">
        <v>-65</v>
      </c>
      <c r="D106" s="631"/>
      <c r="E106" s="563"/>
      <c r="F106" s="756">
        <v>4000</v>
      </c>
      <c r="G106" s="335">
        <v>6</v>
      </c>
      <c r="H106" s="617">
        <v>-25</v>
      </c>
      <c r="I106" s="631"/>
      <c r="J106" s="563"/>
      <c r="K106" s="756">
        <v>4000</v>
      </c>
      <c r="L106" s="335">
        <v>6</v>
      </c>
      <c r="M106" s="617">
        <v>-25</v>
      </c>
      <c r="N106" s="758"/>
      <c r="O106" s="61"/>
      <c r="P106" s="838"/>
      <c r="Q106" s="847"/>
      <c r="R106" s="879"/>
      <c r="S106" s="856">
        <v>1292</v>
      </c>
      <c r="T106" s="941"/>
      <c r="U106" s="942"/>
      <c r="V106" s="942"/>
      <c r="W106" s="942"/>
      <c r="X106" s="942"/>
      <c r="Y106" s="861"/>
      <c r="Z106" s="861"/>
      <c r="AA106" s="861"/>
      <c r="AB106" s="878"/>
      <c r="AC106" s="943"/>
      <c r="AD106" s="67"/>
      <c r="AE106" s="68"/>
      <c r="AF106" s="68"/>
      <c r="AG106" s="60"/>
      <c r="AH106" s="60"/>
    </row>
    <row r="107" spans="1:40" s="81" customFormat="1" ht="18.75" customHeight="1" thickBot="1">
      <c r="A107" s="756">
        <v>10000</v>
      </c>
      <c r="B107" s="335">
        <v>7</v>
      </c>
      <c r="C107" s="617">
        <v>-70</v>
      </c>
      <c r="D107" s="631"/>
      <c r="E107" s="563"/>
      <c r="F107" s="756">
        <v>8000</v>
      </c>
      <c r="G107" s="335">
        <v>7</v>
      </c>
      <c r="H107" s="617">
        <v>-30</v>
      </c>
      <c r="I107" s="631"/>
      <c r="J107" s="563"/>
      <c r="K107" s="756">
        <v>8000</v>
      </c>
      <c r="L107" s="335">
        <v>7</v>
      </c>
      <c r="M107" s="617">
        <v>-30</v>
      </c>
      <c r="N107" s="758"/>
      <c r="O107" s="61"/>
      <c r="P107" s="902"/>
      <c r="Q107" s="903"/>
      <c r="R107" s="948"/>
      <c r="S107" s="949">
        <v>1293</v>
      </c>
      <c r="T107" s="950"/>
      <c r="U107" s="951"/>
      <c r="V107" s="951"/>
      <c r="W107" s="951"/>
      <c r="X107" s="951"/>
      <c r="Y107" s="952"/>
      <c r="Z107" s="952"/>
      <c r="AA107" s="952"/>
      <c r="AB107" s="953"/>
      <c r="AC107" s="954"/>
      <c r="AD107" s="67"/>
      <c r="AE107" s="68"/>
      <c r="AF107" s="68"/>
      <c r="AG107" s="60"/>
      <c r="AH107" s="60"/>
      <c r="AJ107" s="60"/>
      <c r="AK107" s="60"/>
      <c r="AL107" s="60"/>
      <c r="AM107" s="60"/>
      <c r="AN107" s="60"/>
    </row>
    <row r="108" spans="1:41" s="81" customFormat="1" ht="18.75" customHeight="1" thickBot="1" thickTop="1">
      <c r="A108" s="757">
        <v>999999</v>
      </c>
      <c r="B108" s="729">
        <v>8</v>
      </c>
      <c r="C108" s="680">
        <v>-75</v>
      </c>
      <c r="D108" s="631"/>
      <c r="E108" s="563"/>
      <c r="F108" s="757">
        <v>999999</v>
      </c>
      <c r="G108" s="729">
        <v>8</v>
      </c>
      <c r="H108" s="680">
        <v>-35</v>
      </c>
      <c r="I108" s="631"/>
      <c r="J108" s="563"/>
      <c r="K108" s="757">
        <v>999999</v>
      </c>
      <c r="L108" s="729">
        <v>8</v>
      </c>
      <c r="M108" s="680">
        <v>-35</v>
      </c>
      <c r="N108" s="759"/>
      <c r="O108" s="64"/>
      <c r="P108" s="911" t="s">
        <v>37</v>
      </c>
      <c r="Q108" s="553"/>
      <c r="R108" s="975"/>
      <c r="S108" s="555"/>
      <c r="T108" s="556"/>
      <c r="U108" s="556"/>
      <c r="V108" s="556"/>
      <c r="W108" s="556"/>
      <c r="X108" s="556"/>
      <c r="Y108" s="554"/>
      <c r="Z108" s="554"/>
      <c r="AA108" s="554"/>
      <c r="AB108" s="556"/>
      <c r="AC108" s="556"/>
      <c r="AD108" s="82"/>
      <c r="AE108" s="82"/>
      <c r="AF108" s="82"/>
      <c r="AG108" s="83"/>
      <c r="AH108" s="60"/>
      <c r="AJ108" s="60"/>
      <c r="AK108" s="60"/>
      <c r="AL108" s="60"/>
      <c r="AM108" s="60"/>
      <c r="AN108" s="60"/>
      <c r="AO108" s="60"/>
    </row>
    <row r="109" spans="1:41" s="81" customFormat="1" ht="18.75" customHeight="1" thickTop="1">
      <c r="A109" s="563" t="s">
        <v>530</v>
      </c>
      <c r="B109" s="631"/>
      <c r="C109" s="568"/>
      <c r="D109" s="568"/>
      <c r="E109" s="563"/>
      <c r="F109" s="563" t="s">
        <v>530</v>
      </c>
      <c r="G109" s="631"/>
      <c r="H109" s="568"/>
      <c r="I109" s="568"/>
      <c r="J109" s="563"/>
      <c r="K109" s="563" t="s">
        <v>530</v>
      </c>
      <c r="L109" s="631"/>
      <c r="M109" s="568"/>
      <c r="N109" s="759"/>
      <c r="O109" s="64"/>
      <c r="P109" s="911" t="s">
        <v>148</v>
      </c>
      <c r="Q109" s="553"/>
      <c r="R109" s="975"/>
      <c r="S109" s="555"/>
      <c r="T109" s="555"/>
      <c r="U109" s="555"/>
      <c r="V109" s="555"/>
      <c r="W109" s="555"/>
      <c r="X109" s="555"/>
      <c r="Y109" s="553"/>
      <c r="Z109" s="553"/>
      <c r="AA109" s="553"/>
      <c r="AB109" s="555"/>
      <c r="AC109" s="555"/>
      <c r="AD109" s="84"/>
      <c r="AE109" s="84"/>
      <c r="AF109" s="84"/>
      <c r="AG109" s="83"/>
      <c r="AH109" s="60"/>
      <c r="AJ109" s="60"/>
      <c r="AK109" s="60"/>
      <c r="AL109" s="60"/>
      <c r="AM109" s="60"/>
      <c r="AN109" s="60"/>
      <c r="AO109" s="60"/>
    </row>
    <row r="110" spans="1:44" s="81" customFormat="1" ht="18.75" customHeight="1">
      <c r="A110" s="563"/>
      <c r="B110" s="631"/>
      <c r="C110" s="568"/>
      <c r="D110" s="568"/>
      <c r="E110" s="563"/>
      <c r="F110" s="568"/>
      <c r="G110" s="568"/>
      <c r="H110" s="568"/>
      <c r="I110" s="568"/>
      <c r="J110" s="563"/>
      <c r="K110" s="563"/>
      <c r="L110" s="563"/>
      <c r="M110" s="563"/>
      <c r="N110" s="759"/>
      <c r="O110" s="64"/>
      <c r="P110" s="911" t="s">
        <v>205</v>
      </c>
      <c r="Q110" s="553"/>
      <c r="R110" s="975"/>
      <c r="S110" s="555"/>
      <c r="T110" s="555"/>
      <c r="U110" s="555"/>
      <c r="V110" s="555"/>
      <c r="W110" s="555"/>
      <c r="X110" s="555"/>
      <c r="Y110" s="553"/>
      <c r="Z110" s="553"/>
      <c r="AA110" s="553"/>
      <c r="AB110" s="555"/>
      <c r="AC110" s="555"/>
      <c r="AD110" s="84"/>
      <c r="AE110" s="84"/>
      <c r="AF110" s="84"/>
      <c r="AG110" s="83"/>
      <c r="AH110" s="61"/>
      <c r="AI110" s="61"/>
      <c r="AJ110" s="61"/>
      <c r="AK110" s="60"/>
      <c r="AL110" s="60"/>
      <c r="AM110" s="60"/>
      <c r="AN110" s="60"/>
      <c r="AO110" s="60"/>
      <c r="AP110" s="60"/>
      <c r="AQ110" s="60"/>
      <c r="AR110" s="60"/>
    </row>
    <row r="111" spans="1:44" s="81" customFormat="1" ht="18.75" customHeight="1">
      <c r="A111" s="563"/>
      <c r="B111" s="631"/>
      <c r="C111" s="568"/>
      <c r="D111" s="568"/>
      <c r="E111" s="563"/>
      <c r="F111" s="568"/>
      <c r="G111" s="568"/>
      <c r="H111" s="568"/>
      <c r="I111" s="568"/>
      <c r="J111" s="563"/>
      <c r="K111" s="563"/>
      <c r="L111" s="563"/>
      <c r="M111" s="563"/>
      <c r="N111" s="759"/>
      <c r="O111" s="85"/>
      <c r="P111" s="911"/>
      <c r="Q111" s="553"/>
      <c r="R111" s="975"/>
      <c r="S111" s="555"/>
      <c r="T111" s="555"/>
      <c r="U111" s="555"/>
      <c r="V111" s="555"/>
      <c r="W111" s="555"/>
      <c r="X111" s="555"/>
      <c r="Y111" s="553"/>
      <c r="Z111" s="553"/>
      <c r="AA111" s="553"/>
      <c r="AB111" s="555"/>
      <c r="AC111" s="555"/>
      <c r="AD111" s="84"/>
      <c r="AE111" s="84"/>
      <c r="AF111" s="84"/>
      <c r="AG111" s="83"/>
      <c r="AH111" s="61"/>
      <c r="AI111" s="61"/>
      <c r="AJ111" s="61"/>
      <c r="AK111" s="60"/>
      <c r="AL111" s="60"/>
      <c r="AM111" s="60"/>
      <c r="AN111" s="60"/>
      <c r="AO111" s="60"/>
      <c r="AP111" s="60"/>
      <c r="AQ111" s="60"/>
      <c r="AR111" s="60"/>
    </row>
    <row r="112" spans="1:36" ht="18.75" customHeight="1" thickBot="1">
      <c r="A112" s="563" t="s">
        <v>712</v>
      </c>
      <c r="B112" s="563"/>
      <c r="C112" s="563"/>
      <c r="D112" s="563"/>
      <c r="E112" s="563"/>
      <c r="F112" s="760"/>
      <c r="G112" s="760"/>
      <c r="H112" s="760"/>
      <c r="I112" s="760"/>
      <c r="J112" s="563"/>
      <c r="K112" s="563"/>
      <c r="L112" s="563"/>
      <c r="M112" s="563"/>
      <c r="N112" s="759"/>
      <c r="O112" s="85"/>
      <c r="P112" s="799" t="s">
        <v>303</v>
      </c>
      <c r="Q112" s="799"/>
      <c r="R112" s="1970" t="str">
        <f>A4</f>
        <v>一般住宅地</v>
      </c>
      <c r="S112" s="1970"/>
      <c r="T112" s="1970"/>
      <c r="U112" s="799"/>
      <c r="V112" s="799"/>
      <c r="W112" s="799"/>
      <c r="X112" s="799"/>
      <c r="Y112" s="799"/>
      <c r="Z112" s="800"/>
      <c r="AA112" s="1978" t="str">
        <f>"鑑第岐 "&amp;'評価書作成'!B13&amp;" 号"</f>
        <v>鑑第岐 99999 号</v>
      </c>
      <c r="AB112" s="1978"/>
      <c r="AC112" s="560" t="s">
        <v>149</v>
      </c>
      <c r="AD112" s="63"/>
      <c r="AE112" s="63"/>
      <c r="AF112" s="63"/>
      <c r="AG112" s="83"/>
      <c r="AH112" s="61"/>
      <c r="AI112" s="61"/>
      <c r="AJ112" s="61"/>
    </row>
    <row r="113" spans="1:36" ht="18.75" customHeight="1" thickBot="1" thickTop="1">
      <c r="A113" s="563" t="s">
        <v>157</v>
      </c>
      <c r="B113" s="563"/>
      <c r="C113" s="563"/>
      <c r="D113" s="563"/>
      <c r="E113" s="563"/>
      <c r="F113" s="563" t="s">
        <v>206</v>
      </c>
      <c r="G113" s="563"/>
      <c r="H113" s="563"/>
      <c r="I113" s="563"/>
      <c r="J113" s="563"/>
      <c r="K113" s="563" t="s">
        <v>1255</v>
      </c>
      <c r="L113" s="563"/>
      <c r="M113" s="563"/>
      <c r="N113" s="759"/>
      <c r="O113" s="85"/>
      <c r="P113" s="801" t="s">
        <v>298</v>
      </c>
      <c r="Q113" s="802" t="s">
        <v>972</v>
      </c>
      <c r="R113" s="802" t="s">
        <v>973</v>
      </c>
      <c r="S113" s="803" t="s">
        <v>663</v>
      </c>
      <c r="T113" s="804" t="s">
        <v>299</v>
      </c>
      <c r="U113" s="805"/>
      <c r="V113" s="805"/>
      <c r="W113" s="805"/>
      <c r="X113" s="805"/>
      <c r="Y113" s="805"/>
      <c r="Z113" s="805"/>
      <c r="AA113" s="805"/>
      <c r="AB113" s="805"/>
      <c r="AC113" s="806"/>
      <c r="AD113" s="65" t="s">
        <v>721</v>
      </c>
      <c r="AE113" s="66"/>
      <c r="AF113" s="66"/>
      <c r="AG113" s="81"/>
      <c r="AH113" s="61"/>
      <c r="AI113" s="61"/>
      <c r="AJ113" s="61"/>
    </row>
    <row r="114" spans="1:34" ht="18.75" customHeight="1" thickBot="1" thickTop="1">
      <c r="A114" s="591" t="s">
        <v>1217</v>
      </c>
      <c r="B114" s="592" t="s">
        <v>576</v>
      </c>
      <c r="C114" s="593" t="s">
        <v>1001</v>
      </c>
      <c r="D114" s="568"/>
      <c r="E114" s="563"/>
      <c r="F114" s="591" t="s">
        <v>601</v>
      </c>
      <c r="G114" s="592" t="s">
        <v>576</v>
      </c>
      <c r="H114" s="593" t="s">
        <v>1001</v>
      </c>
      <c r="I114" s="563"/>
      <c r="J114" s="563"/>
      <c r="K114" s="591" t="s">
        <v>444</v>
      </c>
      <c r="L114" s="592" t="s">
        <v>601</v>
      </c>
      <c r="M114" s="593" t="s">
        <v>1001</v>
      </c>
      <c r="N114" s="759"/>
      <c r="O114" s="85"/>
      <c r="P114" s="976" t="s">
        <v>935</v>
      </c>
      <c r="Q114" s="1961" t="s">
        <v>908</v>
      </c>
      <c r="R114" s="1961" t="str">
        <f>A87</f>
        <v>最寄駅等の距離</v>
      </c>
      <c r="S114" s="815">
        <v>1301</v>
      </c>
      <c r="T114" s="915" t="s">
        <v>113</v>
      </c>
      <c r="U114" s="811" t="s">
        <v>616</v>
      </c>
      <c r="V114" s="811" t="s">
        <v>467</v>
      </c>
      <c r="W114" s="811" t="s">
        <v>640</v>
      </c>
      <c r="X114" s="811" t="s">
        <v>727</v>
      </c>
      <c r="Y114" s="811" t="s">
        <v>727</v>
      </c>
      <c r="Z114" s="811" t="s">
        <v>819</v>
      </c>
      <c r="AA114" s="811" t="s">
        <v>581</v>
      </c>
      <c r="AB114" s="811" t="s">
        <v>997</v>
      </c>
      <c r="AC114" s="813"/>
      <c r="AD114" s="67"/>
      <c r="AE114" s="68"/>
      <c r="AF114" s="68"/>
      <c r="AG114" s="81"/>
      <c r="AH114" s="61"/>
    </row>
    <row r="115" spans="1:34" ht="18.75" customHeight="1" thickTop="1">
      <c r="A115" s="591">
        <v>0</v>
      </c>
      <c r="B115" s="592" t="s">
        <v>736</v>
      </c>
      <c r="C115" s="761">
        <v>0</v>
      </c>
      <c r="D115" s="631"/>
      <c r="E115" s="563"/>
      <c r="F115" s="591">
        <v>1</v>
      </c>
      <c r="G115" s="592" t="s">
        <v>47</v>
      </c>
      <c r="H115" s="761">
        <v>10</v>
      </c>
      <c r="I115" s="568"/>
      <c r="J115" s="563"/>
      <c r="K115" s="755">
        <v>0</v>
      </c>
      <c r="L115" s="592">
        <v>8</v>
      </c>
      <c r="M115" s="761">
        <v>-25</v>
      </c>
      <c r="N115" s="759"/>
      <c r="O115" s="85"/>
      <c r="P115" s="814" t="s">
        <v>686</v>
      </c>
      <c r="Q115" s="1962"/>
      <c r="R115" s="1962"/>
      <c r="S115" s="815">
        <v>1302</v>
      </c>
      <c r="T115" s="977">
        <f>A90</f>
        <v>500</v>
      </c>
      <c r="U115" s="978">
        <f>A90</f>
        <v>500</v>
      </c>
      <c r="V115" s="978">
        <f>A91</f>
        <v>1000</v>
      </c>
      <c r="W115" s="978">
        <f>A92</f>
        <v>2000</v>
      </c>
      <c r="X115" s="978">
        <f>A93</f>
        <v>6000</v>
      </c>
      <c r="Y115" s="978">
        <f>A94</f>
        <v>10000</v>
      </c>
      <c r="Z115" s="978">
        <f>A95</f>
        <v>20000</v>
      </c>
      <c r="AA115" s="979">
        <f>A96</f>
        <v>999999</v>
      </c>
      <c r="AB115" s="820"/>
      <c r="AC115" s="821"/>
      <c r="AD115" s="67"/>
      <c r="AE115" s="68"/>
      <c r="AF115" s="68"/>
      <c r="AG115" s="81"/>
      <c r="AH115" s="61"/>
    </row>
    <row r="116" spans="1:33" ht="18.75" customHeight="1">
      <c r="A116" s="656">
        <v>1</v>
      </c>
      <c r="B116" s="657" t="s">
        <v>814</v>
      </c>
      <c r="C116" s="617">
        <v>1</v>
      </c>
      <c r="D116" s="631"/>
      <c r="E116" s="563"/>
      <c r="F116" s="656">
        <v>2</v>
      </c>
      <c r="G116" s="657" t="s">
        <v>114</v>
      </c>
      <c r="H116" s="617">
        <v>5</v>
      </c>
      <c r="I116" s="631"/>
      <c r="J116" s="563"/>
      <c r="K116" s="756">
        <v>100</v>
      </c>
      <c r="L116" s="657">
        <v>7</v>
      </c>
      <c r="M116" s="617">
        <v>-20</v>
      </c>
      <c r="N116" s="759"/>
      <c r="O116" s="85"/>
      <c r="P116" s="980"/>
      <c r="Q116" s="823"/>
      <c r="R116" s="1963"/>
      <c r="S116" s="815">
        <v>1303</v>
      </c>
      <c r="T116" s="960">
        <f>C89</f>
        <v>0</v>
      </c>
      <c r="U116" s="961">
        <f>C90</f>
        <v>-20</v>
      </c>
      <c r="V116" s="961">
        <f>C91</f>
        <v>-30</v>
      </c>
      <c r="W116" s="961">
        <f>C92</f>
        <v>-35</v>
      </c>
      <c r="X116" s="961">
        <f>C93</f>
        <v>-40</v>
      </c>
      <c r="Y116" s="827">
        <f>C94</f>
        <v>-45</v>
      </c>
      <c r="Z116" s="827">
        <f>C95</f>
        <v>-50</v>
      </c>
      <c r="AA116" s="827">
        <f>C96</f>
        <v>-55</v>
      </c>
      <c r="AB116" s="828"/>
      <c r="AC116" s="829"/>
      <c r="AD116" s="67"/>
      <c r="AE116" s="68"/>
      <c r="AF116" s="68"/>
      <c r="AG116" s="81"/>
    </row>
    <row r="117" spans="1:33" ht="18.75" customHeight="1">
      <c r="A117" s="656">
        <v>2</v>
      </c>
      <c r="B117" s="657" t="s">
        <v>918</v>
      </c>
      <c r="C117" s="617">
        <v>-1</v>
      </c>
      <c r="D117" s="631"/>
      <c r="E117" s="563"/>
      <c r="F117" s="656">
        <v>3</v>
      </c>
      <c r="G117" s="657" t="s">
        <v>136</v>
      </c>
      <c r="H117" s="617">
        <v>2.5</v>
      </c>
      <c r="I117" s="631"/>
      <c r="J117" s="563"/>
      <c r="K117" s="756">
        <v>200</v>
      </c>
      <c r="L117" s="657">
        <v>6</v>
      </c>
      <c r="M117" s="617">
        <v>-15</v>
      </c>
      <c r="N117" s="759"/>
      <c r="O117" s="85"/>
      <c r="P117" s="980"/>
      <c r="Q117" s="823"/>
      <c r="R117" s="831" t="s">
        <v>1014</v>
      </c>
      <c r="S117" s="832">
        <v>1304</v>
      </c>
      <c r="T117" s="833">
        <f>ROUND((U116-T116)/(U115-0)*('比準演算'!AG7-0)+T116,1)</f>
        <v>-212</v>
      </c>
      <c r="U117" s="834">
        <f>ROUND((V116-U116)/(V115-U115)*('比準演算'!AG7-U115)+U116,1)</f>
        <v>-116</v>
      </c>
      <c r="V117" s="834">
        <f>ROUND((W116-V116)/(W115-V115)*('比準演算'!AG7-V115)+V116,1)</f>
        <v>-51.5</v>
      </c>
      <c r="W117" s="834">
        <f>ROUND((X116-W116)/(X115-W115)*('比準演算'!AG7-W115)+W116,1)</f>
        <v>-39.1</v>
      </c>
      <c r="X117" s="834">
        <f>ROUND((Y116-X116)/(Y115-X115)*('比準演算'!AG7-X115)+X116,1)</f>
        <v>-39.1</v>
      </c>
      <c r="Y117" s="834">
        <f>ROUND((Z116-Y116)/(Z115-Y115)*('比準演算'!AG7-Y115)+Y116,1)</f>
        <v>-42.7</v>
      </c>
      <c r="Z117" s="834">
        <f>ROUND((AA116-Z116)/(AA115-Z115)*('比準演算'!AG7-Z115)+Z116,1)</f>
        <v>-49.9</v>
      </c>
      <c r="AA117" s="981" t="s">
        <v>997</v>
      </c>
      <c r="AB117" s="835"/>
      <c r="AC117" s="837"/>
      <c r="AD117" s="63"/>
      <c r="AE117" s="63"/>
      <c r="AF117" s="63"/>
      <c r="AG117" s="81"/>
    </row>
    <row r="118" spans="1:29" ht="18.75" customHeight="1">
      <c r="A118" s="762"/>
      <c r="B118" s="763"/>
      <c r="C118" s="764"/>
      <c r="D118" s="631"/>
      <c r="E118" s="563"/>
      <c r="F118" s="656">
        <v>4</v>
      </c>
      <c r="G118" s="657" t="s">
        <v>31</v>
      </c>
      <c r="H118" s="617">
        <v>0</v>
      </c>
      <c r="I118" s="631"/>
      <c r="J118" s="563"/>
      <c r="K118" s="756">
        <v>400</v>
      </c>
      <c r="L118" s="657">
        <v>5</v>
      </c>
      <c r="M118" s="617">
        <v>-10</v>
      </c>
      <c r="N118" s="759"/>
      <c r="O118" s="85"/>
      <c r="P118" s="838"/>
      <c r="Q118" s="936"/>
      <c r="R118" s="840" t="s">
        <v>1220</v>
      </c>
      <c r="S118" s="841">
        <v>1305</v>
      </c>
      <c r="T118" s="842">
        <f>ROUND((U116-T116)/(U115-0)*('比準演算'!AG3-0)+T116,1)</f>
        <v>-220</v>
      </c>
      <c r="U118" s="843">
        <f>ROUND((V116-U116)/(V115-U115)*('比準演算'!AG3-U115)+U116,1)</f>
        <v>-120</v>
      </c>
      <c r="V118" s="843">
        <f>ROUND((W116-V116)/(W115-V115)*('比準演算'!AG3-V115)+V116,1)</f>
        <v>-52.5</v>
      </c>
      <c r="W118" s="843">
        <f>ROUND((X116-W116)/(X115-W115)*('比準演算'!AG3-W115)+W116,1)</f>
        <v>-39.4</v>
      </c>
      <c r="X118" s="843">
        <f>ROUND((Y116-X116)/(Y115-X115)*('比準演算'!AG3-X115)+X116,1)</f>
        <v>-39.4</v>
      </c>
      <c r="Y118" s="843">
        <f>ROUND((Z116-Y116)/(Z115-Y115)*('比準演算'!AG3-Y115)+Y116,1)</f>
        <v>-42.8</v>
      </c>
      <c r="Z118" s="843">
        <f>ROUND((AA116-Z116)/(AA115-Z115)*('比準演算'!AG3-Z115)+Z116,1)</f>
        <v>-49.9</v>
      </c>
      <c r="AA118" s="982" t="s">
        <v>997</v>
      </c>
      <c r="AB118" s="845"/>
      <c r="AC118" s="846"/>
    </row>
    <row r="119" spans="1:32" ht="18.75" customHeight="1">
      <c r="A119" s="762"/>
      <c r="B119" s="763"/>
      <c r="C119" s="764"/>
      <c r="D119" s="631"/>
      <c r="E119" s="563"/>
      <c r="F119" s="656">
        <v>5</v>
      </c>
      <c r="G119" s="657" t="s">
        <v>910</v>
      </c>
      <c r="H119" s="617">
        <f>H117*-1</f>
        <v>-2.5</v>
      </c>
      <c r="I119" s="631"/>
      <c r="J119" s="563"/>
      <c r="K119" s="756">
        <v>600</v>
      </c>
      <c r="L119" s="657">
        <v>4</v>
      </c>
      <c r="M119" s="617">
        <v>-5</v>
      </c>
      <c r="N119" s="759"/>
      <c r="O119" s="85"/>
      <c r="P119" s="838"/>
      <c r="Q119" s="1964" t="s">
        <v>832</v>
      </c>
      <c r="R119" s="1964" t="str">
        <f>F87</f>
        <v>商業施設の距離</v>
      </c>
      <c r="S119" s="849">
        <v>1311</v>
      </c>
      <c r="T119" s="897" t="s">
        <v>113</v>
      </c>
      <c r="U119" s="851" t="s">
        <v>616</v>
      </c>
      <c r="V119" s="851" t="s">
        <v>467</v>
      </c>
      <c r="W119" s="851" t="s">
        <v>640</v>
      </c>
      <c r="X119" s="851" t="s">
        <v>727</v>
      </c>
      <c r="Y119" s="851" t="s">
        <v>727</v>
      </c>
      <c r="Z119" s="851" t="s">
        <v>819</v>
      </c>
      <c r="AA119" s="851" t="s">
        <v>581</v>
      </c>
      <c r="AB119" s="853"/>
      <c r="AC119" s="854"/>
      <c r="AD119" s="67"/>
      <c r="AE119" s="68"/>
      <c r="AF119" s="68"/>
    </row>
    <row r="120" spans="1:32" ht="18.75" customHeight="1">
      <c r="A120" s="762"/>
      <c r="B120" s="763"/>
      <c r="C120" s="764"/>
      <c r="D120" s="631"/>
      <c r="E120" s="563"/>
      <c r="F120" s="656">
        <v>6</v>
      </c>
      <c r="G120" s="657" t="s">
        <v>473</v>
      </c>
      <c r="H120" s="617">
        <f>H116*-1</f>
        <v>-5</v>
      </c>
      <c r="I120" s="631"/>
      <c r="J120" s="563"/>
      <c r="K120" s="756">
        <v>1000</v>
      </c>
      <c r="L120" s="657">
        <v>3</v>
      </c>
      <c r="M120" s="617">
        <v>-2</v>
      </c>
      <c r="N120" s="759"/>
      <c r="O120" s="85"/>
      <c r="P120" s="838"/>
      <c r="Q120" s="1965"/>
      <c r="R120" s="1965"/>
      <c r="S120" s="856">
        <v>1312</v>
      </c>
      <c r="T120" s="983">
        <f>F90</f>
        <v>500</v>
      </c>
      <c r="U120" s="894">
        <f>F90</f>
        <v>500</v>
      </c>
      <c r="V120" s="894">
        <f>F91</f>
        <v>1000</v>
      </c>
      <c r="W120" s="894">
        <f>F92</f>
        <v>2000</v>
      </c>
      <c r="X120" s="894">
        <f>F93</f>
        <v>4000</v>
      </c>
      <c r="Y120" s="894">
        <f>F94</f>
        <v>10000</v>
      </c>
      <c r="Z120" s="894">
        <f>F95</f>
        <v>20000</v>
      </c>
      <c r="AA120" s="984">
        <f>F96</f>
        <v>999999</v>
      </c>
      <c r="AB120" s="862"/>
      <c r="AC120" s="863"/>
      <c r="AD120" s="67"/>
      <c r="AE120" s="68"/>
      <c r="AF120" s="68"/>
    </row>
    <row r="121" spans="1:32" ht="18.75" customHeight="1">
      <c r="A121" s="762"/>
      <c r="B121" s="763"/>
      <c r="C121" s="764"/>
      <c r="D121" s="563"/>
      <c r="E121" s="563"/>
      <c r="F121" s="656">
        <v>7</v>
      </c>
      <c r="G121" s="657" t="s">
        <v>947</v>
      </c>
      <c r="H121" s="617">
        <f>H115*-1</f>
        <v>-10</v>
      </c>
      <c r="I121" s="631"/>
      <c r="J121" s="563"/>
      <c r="K121" s="756">
        <v>2000</v>
      </c>
      <c r="L121" s="657">
        <v>2</v>
      </c>
      <c r="M121" s="617">
        <v>-1</v>
      </c>
      <c r="N121" s="759"/>
      <c r="O121" s="85"/>
      <c r="P121" s="838"/>
      <c r="Q121" s="936"/>
      <c r="R121" s="1966"/>
      <c r="S121" s="856">
        <v>1313</v>
      </c>
      <c r="T121" s="881">
        <f>H89</f>
        <v>0</v>
      </c>
      <c r="U121" s="882">
        <f>H90</f>
        <v>-10</v>
      </c>
      <c r="V121" s="882">
        <f>H91</f>
        <v>-15</v>
      </c>
      <c r="W121" s="882">
        <f>H92</f>
        <v>-20</v>
      </c>
      <c r="X121" s="882">
        <f>H93</f>
        <v>-25</v>
      </c>
      <c r="Y121" s="939">
        <f>H94</f>
        <v>-30</v>
      </c>
      <c r="Z121" s="939">
        <f>H95</f>
        <v>-35</v>
      </c>
      <c r="AA121" s="939">
        <f>H96</f>
        <v>-40</v>
      </c>
      <c r="AB121" s="878"/>
      <c r="AC121" s="943"/>
      <c r="AD121" s="67"/>
      <c r="AE121" s="68"/>
      <c r="AF121" s="68"/>
    </row>
    <row r="122" spans="1:32" ht="18.75" customHeight="1" thickBot="1">
      <c r="A122" s="765"/>
      <c r="B122" s="766"/>
      <c r="C122" s="767"/>
      <c r="D122" s="563"/>
      <c r="E122" s="563"/>
      <c r="F122" s="765"/>
      <c r="G122" s="766"/>
      <c r="H122" s="767"/>
      <c r="I122" s="563"/>
      <c r="J122" s="563"/>
      <c r="K122" s="757">
        <v>999999</v>
      </c>
      <c r="L122" s="667">
        <v>1</v>
      </c>
      <c r="M122" s="680">
        <v>0</v>
      </c>
      <c r="N122" s="759"/>
      <c r="O122" s="85"/>
      <c r="P122" s="838"/>
      <c r="Q122" s="936"/>
      <c r="R122" s="831" t="s">
        <v>1014</v>
      </c>
      <c r="S122" s="832">
        <v>1314</v>
      </c>
      <c r="T122" s="833">
        <f>ROUND((U121-T121)/(U120-0)*('比準演算'!AI7-0)+T121,1)</f>
        <v>-26</v>
      </c>
      <c r="U122" s="834">
        <f>ROUND((V121-U121)/(V120-U120)*('比準演算'!AI7-U120)+U121,1)</f>
        <v>-18</v>
      </c>
      <c r="V122" s="834">
        <f>ROUND((W121-V121)/(W120-V120)*('比準演算'!AI7-V120)+V121,1)</f>
        <v>-16.5</v>
      </c>
      <c r="W122" s="834">
        <f>ROUND((X121-W121)/(X120-W120)*('比準演算'!AI7-W120)+W121,1)</f>
        <v>-18.3</v>
      </c>
      <c r="X122" s="834">
        <f>ROUND((Y121-X121)/(Y120-X120)*('比準演算'!AI7-X120)+X121,1)</f>
        <v>-22.8</v>
      </c>
      <c r="Y122" s="834">
        <f>ROUND((Z121-Y121)/(Z120-Y120)*('比準演算'!AI7-Y120)+Y121,1)</f>
        <v>-25.7</v>
      </c>
      <c r="Z122" s="834">
        <f>ROUND((AA121-Z121)/(AA120-Z120)*('比準演算'!AI7-Z120)+Z121,1)</f>
        <v>-34.9</v>
      </c>
      <c r="AA122" s="836"/>
      <c r="AB122" s="835"/>
      <c r="AC122" s="837"/>
      <c r="AD122" s="63"/>
      <c r="AE122" s="63"/>
      <c r="AF122" s="63"/>
    </row>
    <row r="123" spans="1:32" ht="18.75" customHeight="1" thickTop="1">
      <c r="A123" s="768"/>
      <c r="B123" s="768"/>
      <c r="C123" s="769"/>
      <c r="D123" s="563"/>
      <c r="E123" s="563"/>
      <c r="F123" s="563"/>
      <c r="G123" s="563"/>
      <c r="H123" s="563"/>
      <c r="I123" s="563"/>
      <c r="J123" s="563"/>
      <c r="K123" s="563" t="s">
        <v>530</v>
      </c>
      <c r="L123" s="563"/>
      <c r="M123" s="563"/>
      <c r="N123" s="759"/>
      <c r="O123" s="85"/>
      <c r="P123" s="838"/>
      <c r="Q123" s="985"/>
      <c r="R123" s="840" t="s">
        <v>1220</v>
      </c>
      <c r="S123" s="841">
        <v>1315</v>
      </c>
      <c r="T123" s="842">
        <f>ROUND((U121-T121)/(U120-0)*('比準演算'!AI3-0)+T121,1)</f>
        <v>-20</v>
      </c>
      <c r="U123" s="843">
        <f>ROUND((V121-U121)/(V120-U120)*('比準演算'!AI3-U120)+U121,1)</f>
        <v>-15</v>
      </c>
      <c r="V123" s="843">
        <f>ROUND((W121-V121)/(W120-V120)*('比準演算'!AI3-V120)+V121,1)</f>
        <v>-15</v>
      </c>
      <c r="W123" s="843">
        <f>ROUND((X121-W121)/(X120-W120)*('比準演算'!AI3-W120)+W121,1)</f>
        <v>-17.5</v>
      </c>
      <c r="X123" s="843">
        <f>ROUND((Y121-X121)/(Y120-X120)*('比準演算'!AI3-X120)+X121,1)</f>
        <v>-22.5</v>
      </c>
      <c r="Y123" s="843">
        <f>ROUND((Z121-Y121)/(Z120-Y120)*('比準演算'!AI3-Y120)+Y121,1)</f>
        <v>-25.5</v>
      </c>
      <c r="Z123" s="843">
        <f>ROUND((AA121-Z121)/(AA120-Z120)*('比準演算'!AI3-Z120)+Z121,1)</f>
        <v>-34.9</v>
      </c>
      <c r="AA123" s="844"/>
      <c r="AB123" s="845"/>
      <c r="AC123" s="846"/>
      <c r="AD123" s="81"/>
      <c r="AE123" s="81"/>
      <c r="AF123" s="81"/>
    </row>
    <row r="124" spans="1:32" ht="18.75" customHeight="1">
      <c r="A124" s="768"/>
      <c r="B124" s="768"/>
      <c r="C124" s="769"/>
      <c r="D124" s="563"/>
      <c r="E124" s="563"/>
      <c r="F124" s="563"/>
      <c r="G124" s="563"/>
      <c r="H124" s="563"/>
      <c r="I124" s="563"/>
      <c r="J124" s="563"/>
      <c r="K124" s="563"/>
      <c r="L124" s="563"/>
      <c r="M124" s="563"/>
      <c r="N124" s="663"/>
      <c r="O124" s="85"/>
      <c r="P124" s="986" t="s">
        <v>948</v>
      </c>
      <c r="Q124" s="1964" t="s">
        <v>528</v>
      </c>
      <c r="R124" s="1964" t="str">
        <f>K87</f>
        <v>公共施設の距離</v>
      </c>
      <c r="S124" s="856">
        <v>1321</v>
      </c>
      <c r="T124" s="897" t="s">
        <v>113</v>
      </c>
      <c r="U124" s="853" t="s">
        <v>616</v>
      </c>
      <c r="V124" s="853" t="s">
        <v>467</v>
      </c>
      <c r="W124" s="853" t="s">
        <v>640</v>
      </c>
      <c r="X124" s="853" t="s">
        <v>727</v>
      </c>
      <c r="Y124" s="853" t="s">
        <v>727</v>
      </c>
      <c r="Z124" s="853" t="s">
        <v>819</v>
      </c>
      <c r="AA124" s="853" t="s">
        <v>581</v>
      </c>
      <c r="AB124" s="853"/>
      <c r="AC124" s="854"/>
      <c r="AD124" s="67"/>
      <c r="AE124" s="68"/>
      <c r="AF124" s="86"/>
    </row>
    <row r="125" spans="1:32" ht="18.75" customHeight="1" thickBot="1">
      <c r="A125" s="563" t="s">
        <v>986</v>
      </c>
      <c r="B125" s="563"/>
      <c r="C125" s="563"/>
      <c r="D125" s="563"/>
      <c r="E125" s="563"/>
      <c r="F125" s="563" t="s">
        <v>618</v>
      </c>
      <c r="G125" s="563"/>
      <c r="H125" s="563"/>
      <c r="I125" s="563"/>
      <c r="J125" s="563"/>
      <c r="K125" s="563" t="s">
        <v>619</v>
      </c>
      <c r="L125" s="563"/>
      <c r="M125" s="563"/>
      <c r="N125" s="663"/>
      <c r="O125" s="85"/>
      <c r="P125" s="922" t="s">
        <v>669</v>
      </c>
      <c r="Q125" s="1965"/>
      <c r="R125" s="1965"/>
      <c r="S125" s="856">
        <v>1322</v>
      </c>
      <c r="T125" s="983">
        <f>K90</f>
        <v>500</v>
      </c>
      <c r="U125" s="894">
        <f>K90</f>
        <v>500</v>
      </c>
      <c r="V125" s="894">
        <f>K91</f>
        <v>1000</v>
      </c>
      <c r="W125" s="894">
        <f>K92</f>
        <v>2000</v>
      </c>
      <c r="X125" s="894">
        <f>K93</f>
        <v>4000</v>
      </c>
      <c r="Y125" s="894">
        <f>K94</f>
        <v>10000</v>
      </c>
      <c r="Z125" s="894">
        <f>K95</f>
        <v>20000</v>
      </c>
      <c r="AA125" s="984">
        <f>K96</f>
        <v>999999</v>
      </c>
      <c r="AB125" s="862"/>
      <c r="AC125" s="863"/>
      <c r="AD125" s="67"/>
      <c r="AE125" s="68"/>
      <c r="AF125" s="86"/>
    </row>
    <row r="126" spans="1:32" ht="18.75" customHeight="1" thickTop="1">
      <c r="A126" s="591" t="s">
        <v>1217</v>
      </c>
      <c r="B126" s="592" t="s">
        <v>999</v>
      </c>
      <c r="C126" s="593" t="s">
        <v>1001</v>
      </c>
      <c r="D126" s="563"/>
      <c r="E126" s="563"/>
      <c r="F126" s="591" t="s">
        <v>1217</v>
      </c>
      <c r="G126" s="592" t="s">
        <v>999</v>
      </c>
      <c r="H126" s="593" t="s">
        <v>1001</v>
      </c>
      <c r="I126" s="563"/>
      <c r="J126" s="563"/>
      <c r="K126" s="591" t="s">
        <v>1217</v>
      </c>
      <c r="L126" s="592" t="s">
        <v>999</v>
      </c>
      <c r="M126" s="593" t="s">
        <v>1001</v>
      </c>
      <c r="N126" s="663"/>
      <c r="O126" s="85"/>
      <c r="P126" s="838"/>
      <c r="Q126" s="936"/>
      <c r="R126" s="1966"/>
      <c r="S126" s="856">
        <v>1323</v>
      </c>
      <c r="T126" s="881">
        <f>M89</f>
        <v>0</v>
      </c>
      <c r="U126" s="882">
        <f>M90</f>
        <v>-10</v>
      </c>
      <c r="V126" s="882">
        <f>M91</f>
        <v>-15</v>
      </c>
      <c r="W126" s="882">
        <f>M92</f>
        <v>-20</v>
      </c>
      <c r="X126" s="882">
        <f>M93</f>
        <v>-25</v>
      </c>
      <c r="Y126" s="939">
        <f>M94</f>
        <v>-30</v>
      </c>
      <c r="Z126" s="939">
        <f>M95</f>
        <v>-35</v>
      </c>
      <c r="AA126" s="939">
        <f>M96</f>
        <v>-40</v>
      </c>
      <c r="AB126" s="878"/>
      <c r="AC126" s="943"/>
      <c r="AD126" s="67"/>
      <c r="AE126" s="68"/>
      <c r="AF126" s="86"/>
    </row>
    <row r="127" spans="1:32" ht="18.75" customHeight="1">
      <c r="A127" s="656">
        <v>0</v>
      </c>
      <c r="B127" s="657" t="s">
        <v>111</v>
      </c>
      <c r="C127" s="617">
        <v>-3</v>
      </c>
      <c r="D127" s="563"/>
      <c r="E127" s="563"/>
      <c r="F127" s="656">
        <v>0</v>
      </c>
      <c r="G127" s="657" t="s">
        <v>111</v>
      </c>
      <c r="H127" s="617">
        <v>-2</v>
      </c>
      <c r="I127" s="563"/>
      <c r="J127" s="563"/>
      <c r="K127" s="656">
        <v>0</v>
      </c>
      <c r="L127" s="657" t="s">
        <v>111</v>
      </c>
      <c r="M127" s="617">
        <v>-2</v>
      </c>
      <c r="N127" s="663"/>
      <c r="O127" s="85"/>
      <c r="P127" s="838"/>
      <c r="Q127" s="936"/>
      <c r="R127" s="831" t="s">
        <v>1014</v>
      </c>
      <c r="S127" s="832">
        <v>1324</v>
      </c>
      <c r="T127" s="833">
        <f>ROUND((U126-T126)/(U125-0)*('比準演算'!AK7-0)+T126,1)</f>
        <v>-14</v>
      </c>
      <c r="U127" s="834">
        <f>ROUND((V126-U126)/(V125-U125)*('比準演算'!AK7-U125)+U126,1)</f>
        <v>-12</v>
      </c>
      <c r="V127" s="834">
        <f>ROUND((W126-V126)/(W125-V125)*('比準演算'!AK7-V125)+V126,1)</f>
        <v>-13.5</v>
      </c>
      <c r="W127" s="834">
        <f>ROUND((X126-W126)/(X125-W125)*('比準演算'!AK7-W125)+W126,1)</f>
        <v>-16.8</v>
      </c>
      <c r="X127" s="834">
        <f>ROUND((Y126-X126)/(Y125-X125)*('比準演算'!AK7-X125)+X126,1)</f>
        <v>-22.3</v>
      </c>
      <c r="Y127" s="834">
        <f>ROUND((Z126-Y126)/(Z125-Y125)*('比準演算'!AK7-Y125)+Y126,1)</f>
        <v>-25.4</v>
      </c>
      <c r="Z127" s="834">
        <f>ROUND((AA126-Z126)/(AA125-Z125)*('比準演算'!AK7-Z125)+Z126,1)</f>
        <v>-34.9</v>
      </c>
      <c r="AA127" s="836"/>
      <c r="AB127" s="835"/>
      <c r="AC127" s="837"/>
      <c r="AD127" s="63"/>
      <c r="AE127" s="63"/>
      <c r="AF127" s="87"/>
    </row>
    <row r="128" spans="1:32" ht="18.75" customHeight="1">
      <c r="A128" s="656">
        <v>1</v>
      </c>
      <c r="B128" s="657" t="s">
        <v>112</v>
      </c>
      <c r="C128" s="617">
        <v>0</v>
      </c>
      <c r="D128" s="563"/>
      <c r="E128" s="563"/>
      <c r="F128" s="656">
        <v>1</v>
      </c>
      <c r="G128" s="657" t="s">
        <v>1106</v>
      </c>
      <c r="H128" s="617">
        <v>0</v>
      </c>
      <c r="I128" s="563"/>
      <c r="J128" s="563"/>
      <c r="K128" s="656">
        <v>1</v>
      </c>
      <c r="L128" s="657" t="s">
        <v>112</v>
      </c>
      <c r="M128" s="617">
        <v>0</v>
      </c>
      <c r="N128" s="663"/>
      <c r="O128" s="85"/>
      <c r="P128" s="838"/>
      <c r="Q128" s="985"/>
      <c r="R128" s="840" t="s">
        <v>1220</v>
      </c>
      <c r="S128" s="841">
        <v>1325</v>
      </c>
      <c r="T128" s="842">
        <f>ROUND((U126-T126)/(U125-0)*('比準演算'!AK3-0)+T126,1)</f>
        <v>-4</v>
      </c>
      <c r="U128" s="843">
        <f>ROUND((V126-U126)/(V125-U125)*('比準演算'!AK3-U125)+U126,1)</f>
        <v>-7</v>
      </c>
      <c r="V128" s="843">
        <f>ROUND((W126-V126)/(W125-V125)*('比準演算'!AK3-V125)+V126,1)</f>
        <v>-11</v>
      </c>
      <c r="W128" s="843">
        <f>ROUND((X126-W126)/(X125-W125)*('比準演算'!AK3-W125)+W126,1)</f>
        <v>-15.5</v>
      </c>
      <c r="X128" s="843">
        <f>ROUND((Y126-X126)/(Y125-X125)*('比準演算'!AK3-X125)+X126,1)</f>
        <v>-21.8</v>
      </c>
      <c r="Y128" s="843">
        <f>ROUND((Z126-Y126)/(Z125-Y125)*('比準演算'!AK3-Y125)+Y126,1)</f>
        <v>-25.1</v>
      </c>
      <c r="Z128" s="843">
        <f>ROUND((AA126-Z126)/(AA125-Z125)*('比準演算'!AK3-Z125)+Z126,1)</f>
        <v>-34.9</v>
      </c>
      <c r="AA128" s="844"/>
      <c r="AB128" s="845"/>
      <c r="AC128" s="846"/>
      <c r="AD128" s="81"/>
      <c r="AE128" s="81"/>
      <c r="AF128" s="81"/>
    </row>
    <row r="129" spans="1:32" ht="18.75" customHeight="1">
      <c r="A129" s="656">
        <v>2</v>
      </c>
      <c r="B129" s="657" t="s">
        <v>1107</v>
      </c>
      <c r="C129" s="617">
        <v>-1</v>
      </c>
      <c r="D129" s="563"/>
      <c r="E129" s="563"/>
      <c r="F129" s="656">
        <v>2</v>
      </c>
      <c r="G129" s="657" t="s">
        <v>1108</v>
      </c>
      <c r="H129" s="617">
        <v>-1</v>
      </c>
      <c r="I129" s="563"/>
      <c r="J129" s="563"/>
      <c r="K129" s="656">
        <v>2</v>
      </c>
      <c r="L129" s="657" t="s">
        <v>340</v>
      </c>
      <c r="M129" s="617">
        <v>-1</v>
      </c>
      <c r="O129" s="85"/>
      <c r="P129" s="838" t="s">
        <v>669</v>
      </c>
      <c r="Q129" s="1964" t="s">
        <v>773</v>
      </c>
      <c r="R129" s="1964" t="s">
        <v>492</v>
      </c>
      <c r="S129" s="849">
        <v>1331</v>
      </c>
      <c r="T129" s="897" t="s">
        <v>113</v>
      </c>
      <c r="U129" s="851" t="s">
        <v>616</v>
      </c>
      <c r="V129" s="851" t="s">
        <v>467</v>
      </c>
      <c r="W129" s="851" t="s">
        <v>640</v>
      </c>
      <c r="X129" s="851" t="s">
        <v>727</v>
      </c>
      <c r="Y129" s="851" t="s">
        <v>727</v>
      </c>
      <c r="Z129" s="851" t="s">
        <v>819</v>
      </c>
      <c r="AA129" s="851" t="s">
        <v>581</v>
      </c>
      <c r="AB129" s="853"/>
      <c r="AC129" s="854"/>
      <c r="AD129" s="67"/>
      <c r="AE129" s="68"/>
      <c r="AF129" s="86"/>
    </row>
    <row r="130" spans="1:32" ht="18.75" customHeight="1" thickBot="1">
      <c r="A130" s="666">
        <v>3</v>
      </c>
      <c r="B130" s="667" t="s">
        <v>341</v>
      </c>
      <c r="C130" s="680">
        <v>-2</v>
      </c>
      <c r="D130" s="563"/>
      <c r="E130" s="563"/>
      <c r="F130" s="666" t="s">
        <v>669</v>
      </c>
      <c r="G130" s="667" t="s">
        <v>669</v>
      </c>
      <c r="H130" s="680" t="s">
        <v>669</v>
      </c>
      <c r="I130" s="563"/>
      <c r="J130" s="563"/>
      <c r="K130" s="666">
        <v>3</v>
      </c>
      <c r="L130" s="667" t="s">
        <v>211</v>
      </c>
      <c r="M130" s="680">
        <v>-1</v>
      </c>
      <c r="O130" s="85"/>
      <c r="P130" s="838"/>
      <c r="Q130" s="1965"/>
      <c r="R130" s="1965"/>
      <c r="S130" s="856">
        <v>1332</v>
      </c>
      <c r="T130" s="983">
        <f>A102</f>
        <v>250</v>
      </c>
      <c r="U130" s="894">
        <f>A102</f>
        <v>250</v>
      </c>
      <c r="V130" s="894">
        <f>A103</f>
        <v>500</v>
      </c>
      <c r="W130" s="894">
        <f>A104</f>
        <v>1000</v>
      </c>
      <c r="X130" s="894">
        <f>A105</f>
        <v>2000</v>
      </c>
      <c r="Y130" s="894">
        <f>A106</f>
        <v>4000</v>
      </c>
      <c r="Z130" s="894">
        <f>A107</f>
        <v>10000</v>
      </c>
      <c r="AA130" s="984">
        <f>A108</f>
        <v>999999</v>
      </c>
      <c r="AB130" s="862"/>
      <c r="AC130" s="863"/>
      <c r="AD130" s="67"/>
      <c r="AE130" s="68"/>
      <c r="AF130" s="86"/>
    </row>
    <row r="131" spans="1:32" ht="18.75" customHeight="1" thickTop="1">
      <c r="A131" s="768"/>
      <c r="B131" s="768"/>
      <c r="C131" s="769"/>
      <c r="D131" s="563"/>
      <c r="E131" s="563"/>
      <c r="F131" s="563"/>
      <c r="G131" s="563"/>
      <c r="H131" s="563"/>
      <c r="I131" s="563"/>
      <c r="J131" s="563"/>
      <c r="K131" s="563"/>
      <c r="L131" s="563"/>
      <c r="M131" s="760"/>
      <c r="O131" s="85"/>
      <c r="P131" s="838"/>
      <c r="Q131" s="936"/>
      <c r="R131" s="1966"/>
      <c r="S131" s="856">
        <v>1333</v>
      </c>
      <c r="T131" s="881">
        <f>C101</f>
        <v>0</v>
      </c>
      <c r="U131" s="882">
        <f>C102</f>
        <v>-30</v>
      </c>
      <c r="V131" s="882">
        <f>C103</f>
        <v>-45</v>
      </c>
      <c r="W131" s="882">
        <f>C104</f>
        <v>-55</v>
      </c>
      <c r="X131" s="882">
        <f>C105</f>
        <v>-60</v>
      </c>
      <c r="Y131" s="882">
        <f>C106</f>
        <v>-65</v>
      </c>
      <c r="Z131" s="882">
        <f>C107</f>
        <v>-70</v>
      </c>
      <c r="AA131" s="882">
        <f>C108</f>
        <v>-75</v>
      </c>
      <c r="AB131" s="878"/>
      <c r="AC131" s="943"/>
      <c r="AD131" s="67"/>
      <c r="AE131" s="68"/>
      <c r="AF131" s="86"/>
    </row>
    <row r="132" spans="1:32" ht="18.75" customHeight="1">
      <c r="A132" s="768" t="s">
        <v>1311</v>
      </c>
      <c r="B132" s="768"/>
      <c r="C132" s="769"/>
      <c r="D132" s="563"/>
      <c r="E132" s="563"/>
      <c r="F132" s="563"/>
      <c r="G132" s="563"/>
      <c r="H132" s="563"/>
      <c r="I132" s="563"/>
      <c r="J132" s="563"/>
      <c r="K132" s="563"/>
      <c r="L132" s="563"/>
      <c r="M132" s="760"/>
      <c r="O132" s="85"/>
      <c r="P132" s="838"/>
      <c r="Q132" s="936"/>
      <c r="R132" s="831" t="s">
        <v>1014</v>
      </c>
      <c r="S132" s="832">
        <v>1334</v>
      </c>
      <c r="T132" s="833">
        <f>ROUND((U131-T131)/(U130-0)*('比準演算'!AM7-0)+T131,1)</f>
        <v>0</v>
      </c>
      <c r="U132" s="834">
        <f>ROUND((V131-U131)/(V130-U130)*('比準演算'!AM7-U130)+U131,1)</f>
        <v>-15</v>
      </c>
      <c r="V132" s="834">
        <f>ROUND((W131-V131)/(W130-V130)*('比準演算'!AM7-V130)+V131,1)</f>
        <v>-35</v>
      </c>
      <c r="W132" s="834">
        <f>ROUND((X131-W131)/(X130-W130)*('比準演算'!AM7-W130)+W131,1)</f>
        <v>-50</v>
      </c>
      <c r="X132" s="834">
        <f>ROUND((Y131-X131)/(Y130-X130)*('比準演算'!AM7-X130)+X131,1)</f>
        <v>-55</v>
      </c>
      <c r="Y132" s="834">
        <f>ROUND((Z131-Y131)/(Z130-Y130)*('比準演算'!AM7-Y130)+Y131,1)</f>
        <v>-61.7</v>
      </c>
      <c r="Z132" s="834">
        <f>ROUND((AA131-Z131)/(AA130-Z130)*('比準演算'!AM7-Z130)+Z131,1)</f>
        <v>-69.9</v>
      </c>
      <c r="AA132" s="836"/>
      <c r="AB132" s="835"/>
      <c r="AC132" s="837"/>
      <c r="AD132" s="63"/>
      <c r="AE132" s="63"/>
      <c r="AF132" s="87"/>
    </row>
    <row r="133" spans="1:32" ht="18.75" customHeight="1" thickBot="1">
      <c r="A133" s="563" t="s">
        <v>1002</v>
      </c>
      <c r="B133" s="563"/>
      <c r="C133" s="563"/>
      <c r="D133" s="563"/>
      <c r="E133" s="563"/>
      <c r="F133" s="563" t="s">
        <v>447</v>
      </c>
      <c r="G133" s="585" t="s">
        <v>995</v>
      </c>
      <c r="H133" s="563"/>
      <c r="I133" s="563"/>
      <c r="J133" s="563"/>
      <c r="K133" s="563" t="s">
        <v>437</v>
      </c>
      <c r="L133" s="585" t="s">
        <v>995</v>
      </c>
      <c r="M133" s="760"/>
      <c r="P133" s="838"/>
      <c r="Q133" s="847"/>
      <c r="R133" s="840" t="s">
        <v>1220</v>
      </c>
      <c r="S133" s="841">
        <v>1335</v>
      </c>
      <c r="T133" s="842">
        <f>ROUND((U131-T131)/(U130-0)*('比準演算'!AM3-0)+T131,1)</f>
        <v>0</v>
      </c>
      <c r="U133" s="843">
        <f>ROUND((V131-U131)/(V130-U130)*('比準演算'!AM3-U130)+U131,1)</f>
        <v>-15</v>
      </c>
      <c r="V133" s="843">
        <f>ROUND((W131-V131)/(W130-V130)*('比準演算'!AM3-V130)+V131,1)</f>
        <v>-35</v>
      </c>
      <c r="W133" s="843">
        <f>ROUND((X131-W131)/(X130-W130)*('比準演算'!AM3-W130)+W131,1)</f>
        <v>-50</v>
      </c>
      <c r="X133" s="843">
        <f>ROUND((Y131-X131)/(Y130-X130)*('比準演算'!AM3-X130)+X131,1)</f>
        <v>-55</v>
      </c>
      <c r="Y133" s="843">
        <f>ROUND((Z131-Y131)/(Z130-Y130)*('比準演算'!AM3-Y130)+Y131,1)</f>
        <v>-61.7</v>
      </c>
      <c r="Z133" s="843">
        <f>ROUND((AA131-Z131)/(AA130-Z130)*('比準演算'!AM3-Z130)+Z131,1)</f>
        <v>-69.9</v>
      </c>
      <c r="AA133" s="844"/>
      <c r="AB133" s="845"/>
      <c r="AC133" s="846"/>
      <c r="AD133" s="81"/>
      <c r="AE133" s="81"/>
      <c r="AF133" s="81"/>
    </row>
    <row r="134" spans="1:32" ht="18.75" customHeight="1" thickTop="1">
      <c r="A134" s="591" t="s">
        <v>1217</v>
      </c>
      <c r="B134" s="592" t="s">
        <v>1003</v>
      </c>
      <c r="C134" s="593" t="s">
        <v>1001</v>
      </c>
      <c r="D134" s="568"/>
      <c r="E134" s="563"/>
      <c r="F134" s="591" t="s">
        <v>740</v>
      </c>
      <c r="G134" s="592" t="s">
        <v>357</v>
      </c>
      <c r="H134" s="593" t="s">
        <v>1001</v>
      </c>
      <c r="I134" s="568"/>
      <c r="J134" s="563"/>
      <c r="K134" s="591" t="s">
        <v>742</v>
      </c>
      <c r="L134" s="592" t="s">
        <v>357</v>
      </c>
      <c r="M134" s="593" t="s">
        <v>1001</v>
      </c>
      <c r="P134" s="838" t="s">
        <v>669</v>
      </c>
      <c r="Q134" s="987"/>
      <c r="R134" s="879" t="s">
        <v>974</v>
      </c>
      <c r="S134" s="849">
        <v>1341</v>
      </c>
      <c r="T134" s="897" t="s">
        <v>115</v>
      </c>
      <c r="U134" s="851" t="s">
        <v>467</v>
      </c>
      <c r="V134" s="851" t="s">
        <v>640</v>
      </c>
      <c r="W134" s="851" t="s">
        <v>727</v>
      </c>
      <c r="X134" s="851" t="s">
        <v>819</v>
      </c>
      <c r="Y134" s="852"/>
      <c r="Z134" s="852"/>
      <c r="AA134" s="852"/>
      <c r="AB134" s="853"/>
      <c r="AC134" s="854"/>
      <c r="AD134" s="88"/>
      <c r="AE134" s="86"/>
      <c r="AF134" s="86"/>
    </row>
    <row r="135" spans="1:32" ht="18.75" customHeight="1">
      <c r="A135" s="770">
        <v>0</v>
      </c>
      <c r="B135" s="771" t="s">
        <v>213</v>
      </c>
      <c r="C135" s="772">
        <v>0</v>
      </c>
      <c r="D135" s="684" t="s">
        <v>358</v>
      </c>
      <c r="E135" s="563" t="s">
        <v>669</v>
      </c>
      <c r="F135" s="656">
        <v>0</v>
      </c>
      <c r="G135" s="657">
        <v>1</v>
      </c>
      <c r="H135" s="617">
        <v>-20</v>
      </c>
      <c r="I135" s="631"/>
      <c r="J135" s="563"/>
      <c r="K135" s="656">
        <v>0</v>
      </c>
      <c r="L135" s="657">
        <v>1</v>
      </c>
      <c r="M135" s="617">
        <v>-10</v>
      </c>
      <c r="P135" s="838"/>
      <c r="Q135" s="988"/>
      <c r="R135" s="847"/>
      <c r="S135" s="856">
        <v>1342</v>
      </c>
      <c r="T135" s="937"/>
      <c r="U135" s="878"/>
      <c r="V135" s="878"/>
      <c r="W135" s="878"/>
      <c r="X135" s="878"/>
      <c r="Y135" s="861"/>
      <c r="Z135" s="861"/>
      <c r="AA135" s="861"/>
      <c r="AB135" s="878"/>
      <c r="AC135" s="943"/>
      <c r="AD135" s="88"/>
      <c r="AE135" s="86"/>
      <c r="AF135" s="86"/>
    </row>
    <row r="136" spans="1:32" ht="18.75" customHeight="1">
      <c r="A136" s="773">
        <v>4</v>
      </c>
      <c r="B136" s="657" t="s">
        <v>1053</v>
      </c>
      <c r="C136" s="617">
        <v>5</v>
      </c>
      <c r="D136" s="774" t="s">
        <v>292</v>
      </c>
      <c r="E136" s="563" t="s">
        <v>669</v>
      </c>
      <c r="F136" s="775">
        <v>50</v>
      </c>
      <c r="G136" s="657">
        <v>2</v>
      </c>
      <c r="H136" s="617">
        <v>-10</v>
      </c>
      <c r="I136" s="631"/>
      <c r="J136" s="563"/>
      <c r="K136" s="775">
        <v>30</v>
      </c>
      <c r="L136" s="657">
        <v>2</v>
      </c>
      <c r="M136" s="617">
        <v>-8</v>
      </c>
      <c r="P136" s="838"/>
      <c r="Q136" s="988"/>
      <c r="R136" s="989"/>
      <c r="S136" s="896">
        <v>1343</v>
      </c>
      <c r="T136" s="897"/>
      <c r="U136" s="853"/>
      <c r="V136" s="853"/>
      <c r="W136" s="853"/>
      <c r="X136" s="853"/>
      <c r="Y136" s="868"/>
      <c r="Z136" s="868"/>
      <c r="AA136" s="868"/>
      <c r="AB136" s="853"/>
      <c r="AC136" s="854"/>
      <c r="AD136" s="88"/>
      <c r="AE136" s="86"/>
      <c r="AF136" s="86"/>
    </row>
    <row r="137" spans="1:32" ht="18.75" customHeight="1">
      <c r="A137" s="773">
        <v>5</v>
      </c>
      <c r="B137" s="657" t="s">
        <v>291</v>
      </c>
      <c r="C137" s="617">
        <v>8</v>
      </c>
      <c r="D137" s="774" t="s">
        <v>454</v>
      </c>
      <c r="E137" s="563" t="s">
        <v>669</v>
      </c>
      <c r="F137" s="775">
        <v>80</v>
      </c>
      <c r="G137" s="657">
        <v>3</v>
      </c>
      <c r="H137" s="617">
        <v>-8</v>
      </c>
      <c r="I137" s="631"/>
      <c r="J137" s="563"/>
      <c r="K137" s="775">
        <v>40</v>
      </c>
      <c r="L137" s="657">
        <v>3</v>
      </c>
      <c r="M137" s="617">
        <v>-6</v>
      </c>
      <c r="P137" s="838"/>
      <c r="Q137" s="988"/>
      <c r="R137" s="990" t="s">
        <v>1014</v>
      </c>
      <c r="S137" s="991">
        <v>1344</v>
      </c>
      <c r="T137" s="992" t="s">
        <v>997</v>
      </c>
      <c r="U137" s="993" t="s">
        <v>997</v>
      </c>
      <c r="V137" s="993" t="s">
        <v>997</v>
      </c>
      <c r="W137" s="993" t="s">
        <v>997</v>
      </c>
      <c r="X137" s="993" t="s">
        <v>997</v>
      </c>
      <c r="Y137" s="994"/>
      <c r="Z137" s="994"/>
      <c r="AA137" s="994"/>
      <c r="AB137" s="993"/>
      <c r="AC137" s="995"/>
      <c r="AD137" s="88"/>
      <c r="AE137" s="86"/>
      <c r="AF137" s="86"/>
    </row>
    <row r="138" spans="1:32" ht="18.75" customHeight="1">
      <c r="A138" s="773">
        <v>6</v>
      </c>
      <c r="B138" s="657" t="s">
        <v>455</v>
      </c>
      <c r="C138" s="617">
        <v>-10</v>
      </c>
      <c r="D138" s="774" t="s">
        <v>456</v>
      </c>
      <c r="E138" s="563" t="s">
        <v>669</v>
      </c>
      <c r="F138" s="775">
        <v>100</v>
      </c>
      <c r="G138" s="657">
        <v>4</v>
      </c>
      <c r="H138" s="617">
        <v>-5</v>
      </c>
      <c r="I138" s="631"/>
      <c r="J138" s="563"/>
      <c r="K138" s="775">
        <v>50</v>
      </c>
      <c r="L138" s="657">
        <v>4</v>
      </c>
      <c r="M138" s="617">
        <v>-3</v>
      </c>
      <c r="P138" s="838"/>
      <c r="Q138" s="996"/>
      <c r="R138" s="997" t="s">
        <v>1220</v>
      </c>
      <c r="S138" s="880">
        <v>1345</v>
      </c>
      <c r="T138" s="934">
        <v>0</v>
      </c>
      <c r="U138" s="935">
        <v>0</v>
      </c>
      <c r="V138" s="935">
        <v>0</v>
      </c>
      <c r="W138" s="935">
        <f>U138*-1</f>
        <v>0</v>
      </c>
      <c r="X138" s="935">
        <f>T138*-1</f>
        <v>0</v>
      </c>
      <c r="Y138" s="947"/>
      <c r="Z138" s="947"/>
      <c r="AA138" s="947"/>
      <c r="AB138" s="928"/>
      <c r="AC138" s="884"/>
      <c r="AD138" s="88"/>
      <c r="AE138" s="86"/>
      <c r="AF138" s="86"/>
    </row>
    <row r="139" spans="1:32" ht="18.75" customHeight="1">
      <c r="A139" s="773">
        <v>7</v>
      </c>
      <c r="B139" s="657" t="s">
        <v>457</v>
      </c>
      <c r="C139" s="617">
        <v>-5</v>
      </c>
      <c r="D139" s="774" t="s">
        <v>1051</v>
      </c>
      <c r="E139" s="563" t="s">
        <v>669</v>
      </c>
      <c r="F139" s="775">
        <v>150</v>
      </c>
      <c r="G139" s="657">
        <v>5</v>
      </c>
      <c r="H139" s="617">
        <v>-2.5</v>
      </c>
      <c r="I139" s="631"/>
      <c r="J139" s="563"/>
      <c r="K139" s="775">
        <v>60</v>
      </c>
      <c r="L139" s="657">
        <v>5</v>
      </c>
      <c r="M139" s="617">
        <v>0</v>
      </c>
      <c r="P139" s="838" t="s">
        <v>669</v>
      </c>
      <c r="Q139" s="988"/>
      <c r="R139" s="879" t="s">
        <v>974</v>
      </c>
      <c r="S139" s="849">
        <v>1351</v>
      </c>
      <c r="T139" s="897" t="s">
        <v>115</v>
      </c>
      <c r="U139" s="851" t="s">
        <v>467</v>
      </c>
      <c r="V139" s="851" t="s">
        <v>640</v>
      </c>
      <c r="W139" s="851" t="s">
        <v>727</v>
      </c>
      <c r="X139" s="851" t="s">
        <v>819</v>
      </c>
      <c r="Y139" s="852"/>
      <c r="Z139" s="852"/>
      <c r="AA139" s="852"/>
      <c r="AB139" s="853"/>
      <c r="AC139" s="854"/>
      <c r="AD139" s="88"/>
      <c r="AE139" s="86"/>
      <c r="AF139" s="86"/>
    </row>
    <row r="140" spans="1:32" ht="18.75" customHeight="1">
      <c r="A140" s="773">
        <v>8</v>
      </c>
      <c r="B140" s="657" t="s">
        <v>1052</v>
      </c>
      <c r="C140" s="617">
        <v>0</v>
      </c>
      <c r="D140" s="774" t="s">
        <v>469</v>
      </c>
      <c r="E140" s="563" t="s">
        <v>669</v>
      </c>
      <c r="F140" s="775">
        <v>200</v>
      </c>
      <c r="G140" s="657">
        <v>6</v>
      </c>
      <c r="H140" s="617">
        <v>0</v>
      </c>
      <c r="I140" s="631"/>
      <c r="J140" s="563"/>
      <c r="K140" s="775">
        <v>70</v>
      </c>
      <c r="L140" s="657">
        <v>6</v>
      </c>
      <c r="M140" s="617">
        <v>2</v>
      </c>
      <c r="P140" s="838"/>
      <c r="Q140" s="988"/>
      <c r="R140" s="847"/>
      <c r="S140" s="856">
        <v>1352</v>
      </c>
      <c r="T140" s="937"/>
      <c r="U140" s="878"/>
      <c r="V140" s="878"/>
      <c r="W140" s="878"/>
      <c r="X140" s="878"/>
      <c r="Y140" s="861"/>
      <c r="Z140" s="861"/>
      <c r="AA140" s="861"/>
      <c r="AB140" s="878"/>
      <c r="AC140" s="943"/>
      <c r="AD140" s="88"/>
      <c r="AE140" s="86"/>
      <c r="AF140" s="86"/>
    </row>
    <row r="141" spans="1:32" ht="18.75" customHeight="1">
      <c r="A141" s="773">
        <v>11</v>
      </c>
      <c r="B141" s="657" t="s">
        <v>293</v>
      </c>
      <c r="C141" s="617">
        <v>-10</v>
      </c>
      <c r="D141" s="774" t="s">
        <v>577</v>
      </c>
      <c r="E141" s="563" t="s">
        <v>669</v>
      </c>
      <c r="F141" s="775">
        <v>300</v>
      </c>
      <c r="G141" s="657">
        <v>7</v>
      </c>
      <c r="H141" s="617">
        <v>2.5</v>
      </c>
      <c r="I141" s="631"/>
      <c r="J141" s="563"/>
      <c r="K141" s="775">
        <v>80</v>
      </c>
      <c r="L141" s="657">
        <v>7</v>
      </c>
      <c r="M141" s="617">
        <v>4</v>
      </c>
      <c r="P141" s="838"/>
      <c r="Q141" s="988"/>
      <c r="R141" s="989"/>
      <c r="S141" s="896">
        <v>1353</v>
      </c>
      <c r="T141" s="897"/>
      <c r="U141" s="853"/>
      <c r="V141" s="853"/>
      <c r="W141" s="853"/>
      <c r="X141" s="853"/>
      <c r="Y141" s="868"/>
      <c r="Z141" s="868"/>
      <c r="AA141" s="868"/>
      <c r="AB141" s="853"/>
      <c r="AC141" s="854"/>
      <c r="AD141" s="88"/>
      <c r="AE141" s="86"/>
      <c r="AF141" s="86"/>
    </row>
    <row r="142" spans="1:32" ht="18.75" customHeight="1">
      <c r="A142" s="773">
        <v>12</v>
      </c>
      <c r="B142" s="657" t="s">
        <v>578</v>
      </c>
      <c r="C142" s="617">
        <v>-5</v>
      </c>
      <c r="D142" s="774" t="s">
        <v>489</v>
      </c>
      <c r="E142" s="563" t="s">
        <v>669</v>
      </c>
      <c r="F142" s="775">
        <v>400</v>
      </c>
      <c r="G142" s="657">
        <v>8</v>
      </c>
      <c r="H142" s="617">
        <v>5</v>
      </c>
      <c r="I142" s="631"/>
      <c r="J142" s="563"/>
      <c r="K142" s="775">
        <v>90</v>
      </c>
      <c r="L142" s="657">
        <v>8</v>
      </c>
      <c r="M142" s="617">
        <v>6</v>
      </c>
      <c r="N142" s="663"/>
      <c r="P142" s="838"/>
      <c r="Q142" s="988"/>
      <c r="R142" s="998" t="s">
        <v>1014</v>
      </c>
      <c r="S142" s="896">
        <v>1354</v>
      </c>
      <c r="T142" s="897" t="s">
        <v>997</v>
      </c>
      <c r="U142" s="853" t="s">
        <v>997</v>
      </c>
      <c r="V142" s="853" t="s">
        <v>997</v>
      </c>
      <c r="W142" s="853" t="s">
        <v>997</v>
      </c>
      <c r="X142" s="853" t="s">
        <v>997</v>
      </c>
      <c r="Y142" s="868"/>
      <c r="Z142" s="868"/>
      <c r="AA142" s="868"/>
      <c r="AB142" s="853"/>
      <c r="AC142" s="854"/>
      <c r="AD142" s="88"/>
      <c r="AE142" s="86"/>
      <c r="AF142" s="86"/>
    </row>
    <row r="143" spans="1:32" ht="18.75" customHeight="1" thickBot="1">
      <c r="A143" s="773">
        <v>13</v>
      </c>
      <c r="B143" s="657" t="s">
        <v>490</v>
      </c>
      <c r="C143" s="617">
        <v>0</v>
      </c>
      <c r="D143" s="774" t="s">
        <v>1185</v>
      </c>
      <c r="E143" s="563" t="s">
        <v>669</v>
      </c>
      <c r="F143" s="775">
        <v>500</v>
      </c>
      <c r="G143" s="657">
        <v>9</v>
      </c>
      <c r="H143" s="617">
        <v>7.5</v>
      </c>
      <c r="I143" s="631"/>
      <c r="J143" s="563"/>
      <c r="K143" s="776">
        <v>100</v>
      </c>
      <c r="L143" s="657">
        <v>9</v>
      </c>
      <c r="M143" s="616">
        <v>8</v>
      </c>
      <c r="N143" s="663"/>
      <c r="P143" s="902"/>
      <c r="Q143" s="999"/>
      <c r="R143" s="1000" t="s">
        <v>1220</v>
      </c>
      <c r="S143" s="949">
        <v>1355</v>
      </c>
      <c r="T143" s="1001">
        <v>0</v>
      </c>
      <c r="U143" s="1002">
        <v>0</v>
      </c>
      <c r="V143" s="1002">
        <v>0</v>
      </c>
      <c r="W143" s="1002">
        <f>U143*-1</f>
        <v>0</v>
      </c>
      <c r="X143" s="1002">
        <f>T143*-1</f>
        <v>0</v>
      </c>
      <c r="Y143" s="952"/>
      <c r="Z143" s="952"/>
      <c r="AA143" s="952"/>
      <c r="AB143" s="953"/>
      <c r="AC143" s="954"/>
      <c r="AD143" s="88"/>
      <c r="AE143" s="86"/>
      <c r="AF143" s="86"/>
    </row>
    <row r="144" spans="1:32" ht="18.75" customHeight="1" thickTop="1">
      <c r="A144" s="773">
        <v>14</v>
      </c>
      <c r="B144" s="657" t="s">
        <v>813</v>
      </c>
      <c r="C144" s="617">
        <v>0</v>
      </c>
      <c r="D144" s="774" t="s">
        <v>343</v>
      </c>
      <c r="E144" s="563" t="s">
        <v>669</v>
      </c>
      <c r="F144" s="775">
        <v>999</v>
      </c>
      <c r="G144" s="657">
        <v>10</v>
      </c>
      <c r="H144" s="617">
        <v>10</v>
      </c>
      <c r="I144" s="631"/>
      <c r="J144" s="563"/>
      <c r="K144" s="776" t="s">
        <v>158</v>
      </c>
      <c r="L144" s="657" t="s">
        <v>158</v>
      </c>
      <c r="M144" s="616" t="s">
        <v>158</v>
      </c>
      <c r="N144" s="777"/>
      <c r="P144" s="911" t="s">
        <v>116</v>
      </c>
      <c r="Q144" s="1003"/>
      <c r="R144" s="912"/>
      <c r="S144" s="560"/>
      <c r="T144" s="560"/>
      <c r="U144" s="560"/>
      <c r="V144" s="560"/>
      <c r="W144" s="560"/>
      <c r="X144" s="560"/>
      <c r="Y144" s="800"/>
      <c r="Z144" s="800"/>
      <c r="AA144" s="800"/>
      <c r="AB144" s="560"/>
      <c r="AC144" s="560"/>
      <c r="AD144" s="88"/>
      <c r="AE144" s="86"/>
      <c r="AF144" s="86"/>
    </row>
    <row r="145" spans="1:32" ht="18.75" customHeight="1">
      <c r="A145" s="773">
        <v>15</v>
      </c>
      <c r="B145" s="657" t="s">
        <v>460</v>
      </c>
      <c r="C145" s="617">
        <v>0</v>
      </c>
      <c r="D145" s="774" t="s">
        <v>978</v>
      </c>
      <c r="E145" s="563" t="s">
        <v>669</v>
      </c>
      <c r="F145" s="775" t="s">
        <v>997</v>
      </c>
      <c r="G145" s="657" t="s">
        <v>997</v>
      </c>
      <c r="H145" s="617" t="s">
        <v>997</v>
      </c>
      <c r="I145" s="631"/>
      <c r="J145" s="563"/>
      <c r="K145" s="776" t="s">
        <v>669</v>
      </c>
      <c r="L145" s="657"/>
      <c r="M145" s="616"/>
      <c r="N145" s="777"/>
      <c r="P145" s="911" t="s">
        <v>226</v>
      </c>
      <c r="Q145" s="912"/>
      <c r="R145" s="560"/>
      <c r="S145" s="560"/>
      <c r="T145" s="955"/>
      <c r="U145" s="955"/>
      <c r="V145" s="955"/>
      <c r="W145" s="955"/>
      <c r="X145" s="955"/>
      <c r="Y145" s="800"/>
      <c r="Z145" s="800"/>
      <c r="AA145" s="800"/>
      <c r="AB145" s="560"/>
      <c r="AC145" s="560"/>
      <c r="AD145" s="88"/>
      <c r="AE145" s="86"/>
      <c r="AF145" s="86"/>
    </row>
    <row r="146" spans="1:32" ht="18.75" customHeight="1">
      <c r="A146" s="773">
        <v>16</v>
      </c>
      <c r="B146" s="657" t="s">
        <v>335</v>
      </c>
      <c r="C146" s="617">
        <v>0</v>
      </c>
      <c r="D146" s="774" t="s">
        <v>336</v>
      </c>
      <c r="E146" s="563" t="s">
        <v>669</v>
      </c>
      <c r="F146" s="776"/>
      <c r="G146" s="657"/>
      <c r="H146" s="616"/>
      <c r="I146" s="568"/>
      <c r="J146" s="563"/>
      <c r="K146" s="776"/>
      <c r="L146" s="657"/>
      <c r="M146" s="616"/>
      <c r="N146" s="777"/>
      <c r="P146" s="911" t="s">
        <v>205</v>
      </c>
      <c r="Q146" s="912"/>
      <c r="R146" s="560"/>
      <c r="S146" s="560"/>
      <c r="T146" s="955"/>
      <c r="U146" s="955"/>
      <c r="V146" s="955"/>
      <c r="W146" s="955"/>
      <c r="X146" s="955"/>
      <c r="Y146" s="800"/>
      <c r="Z146" s="800"/>
      <c r="AA146" s="800"/>
      <c r="AB146" s="560"/>
      <c r="AC146" s="560"/>
      <c r="AD146" s="89"/>
      <c r="AE146" s="89"/>
      <c r="AF146" s="89"/>
    </row>
    <row r="147" spans="1:32" ht="18.75" customHeight="1" thickBot="1">
      <c r="A147" s="773">
        <v>17</v>
      </c>
      <c r="B147" s="657" t="s">
        <v>337</v>
      </c>
      <c r="C147" s="617">
        <v>3</v>
      </c>
      <c r="D147" s="774" t="s">
        <v>1137</v>
      </c>
      <c r="E147" s="563" t="s">
        <v>669</v>
      </c>
      <c r="F147" s="778"/>
      <c r="G147" s="667"/>
      <c r="H147" s="620"/>
      <c r="I147" s="568"/>
      <c r="J147" s="563"/>
      <c r="K147" s="778"/>
      <c r="L147" s="667"/>
      <c r="M147" s="620"/>
      <c r="N147" s="777"/>
      <c r="P147" s="911" t="s">
        <v>66</v>
      </c>
      <c r="Q147" s="912"/>
      <c r="R147" s="560"/>
      <c r="S147" s="560"/>
      <c r="T147" s="955"/>
      <c r="U147" s="955"/>
      <c r="V147" s="955"/>
      <c r="W147" s="955"/>
      <c r="X147" s="955"/>
      <c r="Y147" s="800"/>
      <c r="Z147" s="800"/>
      <c r="AA147" s="800"/>
      <c r="AB147" s="560"/>
      <c r="AC147" s="560"/>
      <c r="AD147" s="89"/>
      <c r="AE147" s="89"/>
      <c r="AF147" s="89"/>
    </row>
    <row r="148" spans="1:32" ht="18.75" customHeight="1" thickTop="1">
      <c r="A148" s="779"/>
      <c r="B148" s="736"/>
      <c r="C148" s="780"/>
      <c r="D148" s="774"/>
      <c r="E148" s="563"/>
      <c r="F148" s="781"/>
      <c r="G148" s="568"/>
      <c r="H148" s="781"/>
      <c r="I148" s="568"/>
      <c r="J148" s="563"/>
      <c r="K148" s="781"/>
      <c r="L148" s="568"/>
      <c r="M148" s="781"/>
      <c r="N148" s="777"/>
      <c r="P148" s="912"/>
      <c r="Q148" s="912"/>
      <c r="R148" s="560"/>
      <c r="S148" s="560"/>
      <c r="T148" s="955"/>
      <c r="U148" s="955"/>
      <c r="V148" s="955"/>
      <c r="W148" s="955"/>
      <c r="X148" s="955"/>
      <c r="Y148" s="800"/>
      <c r="Z148" s="800"/>
      <c r="AA148" s="800"/>
      <c r="AB148" s="560"/>
      <c r="AC148" s="560"/>
      <c r="AD148" s="89"/>
      <c r="AE148" s="89"/>
      <c r="AF148" s="89"/>
    </row>
    <row r="149" spans="1:32" ht="18.75" customHeight="1" thickBot="1">
      <c r="A149" s="782" t="s">
        <v>997</v>
      </c>
      <c r="B149" s="667" t="s">
        <v>997</v>
      </c>
      <c r="C149" s="668" t="s">
        <v>997</v>
      </c>
      <c r="D149" s="684"/>
      <c r="E149" s="563" t="s">
        <v>669</v>
      </c>
      <c r="F149" s="584" t="s">
        <v>316</v>
      </c>
      <c r="G149" s="568"/>
      <c r="H149" s="568"/>
      <c r="I149" s="568"/>
      <c r="J149" s="563"/>
      <c r="K149" s="584" t="s">
        <v>356</v>
      </c>
      <c r="L149" s="568"/>
      <c r="M149" s="568"/>
      <c r="N149" s="777"/>
      <c r="P149" s="799" t="s">
        <v>303</v>
      </c>
      <c r="Q149" s="1004"/>
      <c r="R149" s="1970" t="str">
        <f>A4</f>
        <v>一般住宅地</v>
      </c>
      <c r="S149" s="1970"/>
      <c r="T149" s="1970"/>
      <c r="U149" s="1004"/>
      <c r="V149" s="1004"/>
      <c r="W149" s="1004"/>
      <c r="X149" s="1004"/>
      <c r="Y149" s="1004"/>
      <c r="Z149" s="1004"/>
      <c r="AA149" s="1978" t="str">
        <f>"鑑第岐 "&amp;'評価書作成'!B13&amp;" 号"</f>
        <v>鑑第岐 99999 号</v>
      </c>
      <c r="AB149" s="1978"/>
      <c r="AC149" s="560" t="s">
        <v>812</v>
      </c>
      <c r="AD149" s="90"/>
      <c r="AE149" s="90"/>
      <c r="AF149" s="90"/>
    </row>
    <row r="150" spans="1:32" ht="18.75" customHeight="1" thickTop="1">
      <c r="A150" s="568"/>
      <c r="B150" s="783"/>
      <c r="C150" s="568"/>
      <c r="D150" s="568"/>
      <c r="E150" s="563"/>
      <c r="F150" s="568"/>
      <c r="G150" s="568"/>
      <c r="H150" s="568"/>
      <c r="I150" s="568"/>
      <c r="J150" s="563"/>
      <c r="K150" s="568"/>
      <c r="L150" s="568"/>
      <c r="M150" s="568"/>
      <c r="N150" s="777"/>
      <c r="P150" s="801" t="s">
        <v>298</v>
      </c>
      <c r="Q150" s="802" t="s">
        <v>972</v>
      </c>
      <c r="R150" s="802" t="s">
        <v>973</v>
      </c>
      <c r="S150" s="803" t="s">
        <v>663</v>
      </c>
      <c r="T150" s="1005" t="s">
        <v>299</v>
      </c>
      <c r="U150" s="1006"/>
      <c r="V150" s="1006"/>
      <c r="W150" s="1006"/>
      <c r="X150" s="1006"/>
      <c r="Y150" s="1006"/>
      <c r="Z150" s="1006"/>
      <c r="AA150" s="1006"/>
      <c r="AB150" s="1006"/>
      <c r="AC150" s="1007"/>
      <c r="AD150" s="67"/>
      <c r="AE150" s="68"/>
      <c r="AF150" s="68"/>
    </row>
    <row r="151" spans="1:32" ht="18.75" customHeight="1" thickBot="1">
      <c r="A151" s="568" t="s">
        <v>715</v>
      </c>
      <c r="B151" s="783"/>
      <c r="C151" s="568"/>
      <c r="D151" s="568"/>
      <c r="E151" s="563"/>
      <c r="F151" s="568" t="s">
        <v>1135</v>
      </c>
      <c r="G151" s="568"/>
      <c r="H151" s="568"/>
      <c r="I151" s="568"/>
      <c r="J151" s="563"/>
      <c r="K151" s="568" t="s">
        <v>1151</v>
      </c>
      <c r="L151" s="568"/>
      <c r="M151" s="568"/>
      <c r="N151" s="777"/>
      <c r="P151" s="814" t="s">
        <v>823</v>
      </c>
      <c r="Q151" s="1961" t="s">
        <v>1048</v>
      </c>
      <c r="R151" s="914" t="s">
        <v>1041</v>
      </c>
      <c r="S151" s="815">
        <v>1401</v>
      </c>
      <c r="T151" s="915" t="str">
        <f>B115</f>
        <v>普通</v>
      </c>
      <c r="U151" s="811" t="str">
        <f>B116</f>
        <v>良好</v>
      </c>
      <c r="V151" s="811" t="str">
        <f>B117</f>
        <v>劣る</v>
      </c>
      <c r="W151" s="811" t="s">
        <v>997</v>
      </c>
      <c r="X151" s="811" t="s">
        <v>997</v>
      </c>
      <c r="Y151" s="812"/>
      <c r="Z151" s="812"/>
      <c r="AA151" s="812"/>
      <c r="AB151" s="811"/>
      <c r="AC151" s="813"/>
      <c r="AD151" s="88"/>
      <c r="AE151" s="86"/>
      <c r="AF151" s="86"/>
    </row>
    <row r="152" spans="1:32" ht="18.75" customHeight="1" thickTop="1">
      <c r="A152" s="591" t="s">
        <v>1217</v>
      </c>
      <c r="B152" s="592" t="s">
        <v>1003</v>
      </c>
      <c r="C152" s="593" t="s">
        <v>1001</v>
      </c>
      <c r="D152" s="568"/>
      <c r="E152" s="563"/>
      <c r="F152" s="591" t="s">
        <v>1217</v>
      </c>
      <c r="G152" s="592" t="s">
        <v>1086</v>
      </c>
      <c r="H152" s="593" t="s">
        <v>1001</v>
      </c>
      <c r="I152" s="568"/>
      <c r="J152" s="563"/>
      <c r="K152" s="591" t="s">
        <v>601</v>
      </c>
      <c r="L152" s="592" t="s">
        <v>936</v>
      </c>
      <c r="M152" s="593" t="s">
        <v>1001</v>
      </c>
      <c r="N152" s="777"/>
      <c r="P152" s="814" t="s">
        <v>686</v>
      </c>
      <c r="Q152" s="1962"/>
      <c r="R152" s="914" t="s">
        <v>669</v>
      </c>
      <c r="S152" s="815">
        <v>1402</v>
      </c>
      <c r="T152" s="559" t="s">
        <v>997</v>
      </c>
      <c r="U152" s="828" t="s">
        <v>997</v>
      </c>
      <c r="V152" s="828" t="s">
        <v>997</v>
      </c>
      <c r="W152" s="828" t="s">
        <v>997</v>
      </c>
      <c r="X152" s="828" t="s">
        <v>997</v>
      </c>
      <c r="Y152" s="819"/>
      <c r="Z152" s="819"/>
      <c r="AA152" s="819"/>
      <c r="AB152" s="820"/>
      <c r="AC152" s="1008"/>
      <c r="AD152" s="88"/>
      <c r="AE152" s="86"/>
      <c r="AF152" s="86"/>
    </row>
    <row r="153" spans="1:32" ht="18.75" customHeight="1">
      <c r="A153" s="784" t="s">
        <v>906</v>
      </c>
      <c r="B153" s="657" t="s">
        <v>907</v>
      </c>
      <c r="C153" s="617">
        <v>0</v>
      </c>
      <c r="D153" s="774" t="s">
        <v>907</v>
      </c>
      <c r="E153" s="563" t="s">
        <v>669</v>
      </c>
      <c r="F153" s="656">
        <v>0</v>
      </c>
      <c r="G153" s="657" t="s">
        <v>993</v>
      </c>
      <c r="H153" s="617">
        <v>0</v>
      </c>
      <c r="I153" s="631"/>
      <c r="J153" s="563"/>
      <c r="K153" s="601">
        <v>1</v>
      </c>
      <c r="L153" s="657" t="s">
        <v>937</v>
      </c>
      <c r="M153" s="617">
        <v>10</v>
      </c>
      <c r="N153" s="777"/>
      <c r="P153" s="822"/>
      <c r="Q153" s="1009"/>
      <c r="R153" s="1010"/>
      <c r="S153" s="959">
        <v>1403</v>
      </c>
      <c r="T153" s="1011">
        <f>C115</f>
        <v>0</v>
      </c>
      <c r="U153" s="1012">
        <f>C116</f>
        <v>1</v>
      </c>
      <c r="V153" s="1012">
        <f>C117</f>
        <v>-1</v>
      </c>
      <c r="W153" s="1012" t="s">
        <v>997</v>
      </c>
      <c r="X153" s="1012" t="s">
        <v>997</v>
      </c>
      <c r="Y153" s="1013"/>
      <c r="Z153" s="1013"/>
      <c r="AA153" s="1013"/>
      <c r="AB153" s="965"/>
      <c r="AC153" s="1014"/>
      <c r="AD153" s="88"/>
      <c r="AE153" s="86"/>
      <c r="AF153" s="86"/>
    </row>
    <row r="154" spans="1:32" ht="18.75" customHeight="1">
      <c r="A154" s="784" t="s">
        <v>187</v>
      </c>
      <c r="B154" s="657" t="s">
        <v>188</v>
      </c>
      <c r="C154" s="617">
        <v>0</v>
      </c>
      <c r="D154" s="774" t="s">
        <v>1266</v>
      </c>
      <c r="E154" s="563" t="s">
        <v>669</v>
      </c>
      <c r="F154" s="656">
        <v>1</v>
      </c>
      <c r="G154" s="657" t="s">
        <v>1267</v>
      </c>
      <c r="H154" s="617">
        <v>2</v>
      </c>
      <c r="I154" s="631"/>
      <c r="J154" s="563"/>
      <c r="K154" s="601">
        <v>2</v>
      </c>
      <c r="L154" s="657" t="s">
        <v>1219</v>
      </c>
      <c r="M154" s="617">
        <v>5</v>
      </c>
      <c r="N154" s="777"/>
      <c r="P154" s="814" t="s">
        <v>669</v>
      </c>
      <c r="Q154" s="1961" t="s">
        <v>519</v>
      </c>
      <c r="R154" s="914" t="s">
        <v>720</v>
      </c>
      <c r="S154" s="815">
        <v>1411</v>
      </c>
      <c r="T154" s="915" t="str">
        <f>B115</f>
        <v>普通</v>
      </c>
      <c r="U154" s="916" t="str">
        <f>B116</f>
        <v>良好</v>
      </c>
      <c r="V154" s="916" t="str">
        <f>B117</f>
        <v>劣る</v>
      </c>
      <c r="W154" s="916" t="s">
        <v>997</v>
      </c>
      <c r="X154" s="916" t="s">
        <v>997</v>
      </c>
      <c r="Y154" s="1015"/>
      <c r="Z154" s="1015"/>
      <c r="AA154" s="1015"/>
      <c r="AB154" s="916"/>
      <c r="AC154" s="1016"/>
      <c r="AD154" s="88"/>
      <c r="AE154" s="86"/>
      <c r="AF154" s="86"/>
    </row>
    <row r="155" spans="1:32" ht="18.75" customHeight="1">
      <c r="A155" s="784" t="s">
        <v>1268</v>
      </c>
      <c r="B155" s="657" t="s">
        <v>1269</v>
      </c>
      <c r="C155" s="617">
        <v>-20</v>
      </c>
      <c r="D155" s="774" t="s">
        <v>1039</v>
      </c>
      <c r="E155" s="563" t="s">
        <v>669</v>
      </c>
      <c r="F155" s="656">
        <v>2</v>
      </c>
      <c r="G155" s="657" t="s">
        <v>1273</v>
      </c>
      <c r="H155" s="617">
        <v>1</v>
      </c>
      <c r="I155" s="631"/>
      <c r="J155" s="563"/>
      <c r="K155" s="601">
        <v>3</v>
      </c>
      <c r="L155" s="657" t="s">
        <v>736</v>
      </c>
      <c r="M155" s="617">
        <v>0</v>
      </c>
      <c r="N155" s="777"/>
      <c r="P155" s="822"/>
      <c r="Q155" s="1962"/>
      <c r="R155" s="914" t="s">
        <v>669</v>
      </c>
      <c r="S155" s="815">
        <v>1412</v>
      </c>
      <c r="T155" s="559" t="s">
        <v>997</v>
      </c>
      <c r="U155" s="828" t="s">
        <v>997</v>
      </c>
      <c r="V155" s="828" t="s">
        <v>997</v>
      </c>
      <c r="W155" s="828" t="s">
        <v>997</v>
      </c>
      <c r="X155" s="828" t="s">
        <v>997</v>
      </c>
      <c r="Y155" s="819"/>
      <c r="Z155" s="819"/>
      <c r="AA155" s="819"/>
      <c r="AB155" s="1017"/>
      <c r="AC155" s="1008"/>
      <c r="AD155" s="88"/>
      <c r="AE155" s="86"/>
      <c r="AF155" s="86"/>
    </row>
    <row r="156" spans="1:32" ht="18.75" customHeight="1">
      <c r="A156" s="784" t="s">
        <v>382</v>
      </c>
      <c r="B156" s="657" t="s">
        <v>383</v>
      </c>
      <c r="C156" s="617">
        <v>-10</v>
      </c>
      <c r="D156" s="774" t="s">
        <v>1120</v>
      </c>
      <c r="E156" s="563" t="s">
        <v>669</v>
      </c>
      <c r="F156" s="656"/>
      <c r="G156" s="657"/>
      <c r="H156" s="617"/>
      <c r="I156" s="631"/>
      <c r="J156" s="563"/>
      <c r="K156" s="601">
        <v>4</v>
      </c>
      <c r="L156" s="657" t="s">
        <v>910</v>
      </c>
      <c r="M156" s="617">
        <v>-5</v>
      </c>
      <c r="N156" s="777"/>
      <c r="P156" s="822"/>
      <c r="Q156" s="964"/>
      <c r="R156" s="914"/>
      <c r="S156" s="815">
        <v>1413</v>
      </c>
      <c r="T156" s="960">
        <f>C115</f>
        <v>0</v>
      </c>
      <c r="U156" s="961">
        <f>C116</f>
        <v>1</v>
      </c>
      <c r="V156" s="961">
        <f>C117</f>
        <v>-1</v>
      </c>
      <c r="W156" s="961" t="s">
        <v>997</v>
      </c>
      <c r="X156" s="961" t="s">
        <v>997</v>
      </c>
      <c r="Y156" s="1013"/>
      <c r="Z156" s="1013"/>
      <c r="AA156" s="1013"/>
      <c r="AB156" s="1018"/>
      <c r="AC156" s="1014"/>
      <c r="AD156" s="88"/>
      <c r="AE156" s="86"/>
      <c r="AF156" s="86"/>
    </row>
    <row r="157" spans="1:32" ht="18.75" customHeight="1">
      <c r="A157" s="784" t="s">
        <v>588</v>
      </c>
      <c r="B157" s="657"/>
      <c r="C157" s="785"/>
      <c r="D157" s="774"/>
      <c r="E157" s="563"/>
      <c r="F157" s="656"/>
      <c r="G157" s="657"/>
      <c r="H157" s="617"/>
      <c r="I157" s="631"/>
      <c r="J157" s="563"/>
      <c r="K157" s="601">
        <v>5</v>
      </c>
      <c r="L157" s="657" t="s">
        <v>918</v>
      </c>
      <c r="M157" s="617">
        <v>-10</v>
      </c>
      <c r="N157" s="777"/>
      <c r="P157" s="822"/>
      <c r="Q157" s="809" t="s">
        <v>934</v>
      </c>
      <c r="R157" s="808" t="s">
        <v>206</v>
      </c>
      <c r="S157" s="809">
        <v>1421</v>
      </c>
      <c r="T157" s="810" t="s">
        <v>846</v>
      </c>
      <c r="U157" s="811" t="s">
        <v>616</v>
      </c>
      <c r="V157" s="811" t="s">
        <v>467</v>
      </c>
      <c r="W157" s="811" t="s">
        <v>640</v>
      </c>
      <c r="X157" s="811" t="s">
        <v>727</v>
      </c>
      <c r="Y157" s="811" t="s">
        <v>819</v>
      </c>
      <c r="Z157" s="812" t="s">
        <v>1193</v>
      </c>
      <c r="AA157" s="812"/>
      <c r="AB157" s="1019"/>
      <c r="AC157" s="1016"/>
      <c r="AD157" s="88"/>
      <c r="AE157" s="86"/>
      <c r="AF157" s="86"/>
    </row>
    <row r="158" spans="1:32" ht="18.75" customHeight="1">
      <c r="A158" s="784" t="s">
        <v>589</v>
      </c>
      <c r="B158" s="657"/>
      <c r="C158" s="785"/>
      <c r="D158" s="774"/>
      <c r="E158" s="563"/>
      <c r="F158" s="656"/>
      <c r="G158" s="657"/>
      <c r="H158" s="617"/>
      <c r="I158" s="631"/>
      <c r="J158" s="563"/>
      <c r="K158" s="656"/>
      <c r="L158" s="657"/>
      <c r="M158" s="617"/>
      <c r="N158" s="777"/>
      <c r="P158" s="822"/>
      <c r="Q158" s="964" t="s">
        <v>669</v>
      </c>
      <c r="R158" s="914" t="s">
        <v>67</v>
      </c>
      <c r="S158" s="815">
        <v>1422</v>
      </c>
      <c r="T158" s="559" t="str">
        <f>G115</f>
        <v>環境特優</v>
      </c>
      <c r="U158" s="828" t="str">
        <f>G116</f>
        <v>環境優る</v>
      </c>
      <c r="V158" s="828" t="str">
        <f>G117</f>
        <v>やや優る</v>
      </c>
      <c r="W158" s="828" t="str">
        <f>G118</f>
        <v>環境普通</v>
      </c>
      <c r="X158" s="828" t="str">
        <f>G119</f>
        <v>やや劣る</v>
      </c>
      <c r="Y158" s="828" t="str">
        <f>G120</f>
        <v>環境劣る</v>
      </c>
      <c r="Z158" s="828" t="str">
        <f>G121</f>
        <v>相当劣る</v>
      </c>
      <c r="AA158" s="819"/>
      <c r="AB158" s="1017"/>
      <c r="AC158" s="1008"/>
      <c r="AD158" s="88"/>
      <c r="AE158" s="86"/>
      <c r="AF158" s="86"/>
    </row>
    <row r="159" spans="1:32" ht="18.75" customHeight="1">
      <c r="A159" s="784" t="s">
        <v>743</v>
      </c>
      <c r="B159" s="657"/>
      <c r="C159" s="785"/>
      <c r="D159" s="774"/>
      <c r="E159" s="563"/>
      <c r="F159" s="656"/>
      <c r="G159" s="657"/>
      <c r="H159" s="617"/>
      <c r="I159" s="631"/>
      <c r="J159" s="563"/>
      <c r="K159" s="656"/>
      <c r="L159" s="657"/>
      <c r="M159" s="617"/>
      <c r="N159" s="777"/>
      <c r="P159" s="822"/>
      <c r="Q159" s="964"/>
      <c r="R159" s="1010"/>
      <c r="S159" s="815">
        <v>1423</v>
      </c>
      <c r="T159" s="960">
        <f>H115</f>
        <v>10</v>
      </c>
      <c r="U159" s="961">
        <f>H116</f>
        <v>5</v>
      </c>
      <c r="V159" s="961">
        <f>H117</f>
        <v>2.5</v>
      </c>
      <c r="W159" s="961">
        <f>H118</f>
        <v>0</v>
      </c>
      <c r="X159" s="961">
        <f>H119</f>
        <v>-2.5</v>
      </c>
      <c r="Y159" s="962">
        <f>H120</f>
        <v>-5</v>
      </c>
      <c r="Z159" s="962">
        <f>H121</f>
        <v>-10</v>
      </c>
      <c r="AA159" s="1013"/>
      <c r="AB159" s="1018"/>
      <c r="AC159" s="1014"/>
      <c r="AD159" s="88"/>
      <c r="AE159" s="86"/>
      <c r="AF159" s="86"/>
    </row>
    <row r="160" spans="1:32" ht="18.75" customHeight="1" thickBot="1">
      <c r="A160" s="786" t="s">
        <v>744</v>
      </c>
      <c r="B160" s="667"/>
      <c r="C160" s="787"/>
      <c r="D160" s="774"/>
      <c r="E160" s="563"/>
      <c r="F160" s="666"/>
      <c r="G160" s="667"/>
      <c r="H160" s="680"/>
      <c r="I160" s="631"/>
      <c r="J160" s="563"/>
      <c r="K160" s="666"/>
      <c r="L160" s="667"/>
      <c r="M160" s="680"/>
      <c r="N160" s="777"/>
      <c r="P160" s="822" t="s">
        <v>669</v>
      </c>
      <c r="Q160" s="1967" t="s">
        <v>1298</v>
      </c>
      <c r="R160" s="808" t="s">
        <v>779</v>
      </c>
      <c r="S160" s="809">
        <v>1431</v>
      </c>
      <c r="T160" s="810" t="str">
        <f>B127</f>
        <v>未整備</v>
      </c>
      <c r="U160" s="811" t="str">
        <f>B128</f>
        <v>供給区域</v>
      </c>
      <c r="V160" s="811" t="str">
        <f>B129</f>
        <v>専用水道</v>
      </c>
      <c r="W160" s="811" t="str">
        <f>B130</f>
        <v>引込可能</v>
      </c>
      <c r="X160" s="811" t="s">
        <v>669</v>
      </c>
      <c r="Y160" s="812"/>
      <c r="Z160" s="812"/>
      <c r="AA160" s="812"/>
      <c r="AB160" s="1019"/>
      <c r="AC160" s="1016"/>
      <c r="AD160" s="88"/>
      <c r="AE160" s="86"/>
      <c r="AF160" s="68"/>
    </row>
    <row r="161" spans="1:32" ht="18.75" customHeight="1" thickTop="1">
      <c r="A161" s="783"/>
      <c r="B161" s="568"/>
      <c r="C161" s="631"/>
      <c r="D161" s="631"/>
      <c r="E161" s="563"/>
      <c r="F161" s="568"/>
      <c r="G161" s="568"/>
      <c r="H161" s="568"/>
      <c r="I161" s="568"/>
      <c r="J161" s="563"/>
      <c r="K161" s="568"/>
      <c r="L161" s="568"/>
      <c r="M161" s="568"/>
      <c r="N161" s="777"/>
      <c r="P161" s="822"/>
      <c r="Q161" s="1968"/>
      <c r="R161" s="914" t="s">
        <v>669</v>
      </c>
      <c r="S161" s="815">
        <v>1432</v>
      </c>
      <c r="T161" s="559" t="s">
        <v>997</v>
      </c>
      <c r="U161" s="828" t="s">
        <v>997</v>
      </c>
      <c r="V161" s="828" t="s">
        <v>997</v>
      </c>
      <c r="W161" s="828" t="s">
        <v>997</v>
      </c>
      <c r="X161" s="828" t="s">
        <v>669</v>
      </c>
      <c r="Y161" s="819"/>
      <c r="Z161" s="819"/>
      <c r="AA161" s="819"/>
      <c r="AB161" s="1017"/>
      <c r="AC161" s="1008"/>
      <c r="AD161" s="88"/>
      <c r="AE161" s="86"/>
      <c r="AF161" s="68"/>
    </row>
    <row r="162" spans="1:32" ht="18.75" customHeight="1">
      <c r="A162" s="788" t="s">
        <v>746</v>
      </c>
      <c r="B162" s="568"/>
      <c r="C162" s="631"/>
      <c r="D162" s="631"/>
      <c r="E162" s="563"/>
      <c r="F162" s="568"/>
      <c r="G162" s="568"/>
      <c r="H162" s="568"/>
      <c r="I162" s="568"/>
      <c r="J162" s="563"/>
      <c r="K162" s="568"/>
      <c r="L162" s="568"/>
      <c r="M162" s="568"/>
      <c r="N162" s="777"/>
      <c r="P162" s="822"/>
      <c r="Q162" s="964"/>
      <c r="R162" s="914"/>
      <c r="S162" s="815">
        <v>1433</v>
      </c>
      <c r="T162" s="960">
        <f>C127</f>
        <v>-3</v>
      </c>
      <c r="U162" s="961">
        <f>C128</f>
        <v>0</v>
      </c>
      <c r="V162" s="961">
        <f>C129</f>
        <v>-1</v>
      </c>
      <c r="W162" s="961">
        <f>C130</f>
        <v>-2</v>
      </c>
      <c r="X162" s="961" t="s">
        <v>669</v>
      </c>
      <c r="Y162" s="1013"/>
      <c r="Z162" s="1013"/>
      <c r="AA162" s="1013"/>
      <c r="AB162" s="1018"/>
      <c r="AC162" s="1014"/>
      <c r="AD162" s="88"/>
      <c r="AE162" s="86"/>
      <c r="AF162" s="68"/>
    </row>
    <row r="163" spans="1:32" ht="18.75" customHeight="1" thickBot="1">
      <c r="A163" s="563" t="s">
        <v>741</v>
      </c>
      <c r="B163" s="563"/>
      <c r="C163" s="563"/>
      <c r="D163" s="631"/>
      <c r="E163" s="563"/>
      <c r="F163" s="568" t="s">
        <v>370</v>
      </c>
      <c r="G163" s="568"/>
      <c r="H163" s="568"/>
      <c r="I163" s="568"/>
      <c r="J163" s="563"/>
      <c r="K163" s="684" t="s">
        <v>68</v>
      </c>
      <c r="L163" s="568"/>
      <c r="M163" s="568"/>
      <c r="N163" s="777"/>
      <c r="P163" s="822"/>
      <c r="Q163" s="964"/>
      <c r="R163" s="808" t="s">
        <v>566</v>
      </c>
      <c r="S163" s="809">
        <v>1441</v>
      </c>
      <c r="T163" s="810" t="str">
        <f>G127</f>
        <v>未整備</v>
      </c>
      <c r="U163" s="811" t="str">
        <f>G128</f>
        <v>処理区域内</v>
      </c>
      <c r="V163" s="811" t="str">
        <f>G129</f>
        <v>処理区域外</v>
      </c>
      <c r="W163" s="811" t="s">
        <v>997</v>
      </c>
      <c r="X163" s="811" t="s">
        <v>669</v>
      </c>
      <c r="Y163" s="812"/>
      <c r="Z163" s="812"/>
      <c r="AA163" s="812"/>
      <c r="AB163" s="1019"/>
      <c r="AC163" s="1016"/>
      <c r="AD163" s="67"/>
      <c r="AE163" s="68"/>
      <c r="AF163" s="68"/>
    </row>
    <row r="164" spans="1:32" ht="18.75" customHeight="1" thickTop="1">
      <c r="A164" s="591" t="s">
        <v>601</v>
      </c>
      <c r="B164" s="592" t="s">
        <v>936</v>
      </c>
      <c r="C164" s="593" t="s">
        <v>1001</v>
      </c>
      <c r="D164" s="631"/>
      <c r="E164" s="563"/>
      <c r="F164" s="591" t="s">
        <v>601</v>
      </c>
      <c r="G164" s="592" t="s">
        <v>936</v>
      </c>
      <c r="H164" s="593" t="s">
        <v>1001</v>
      </c>
      <c r="I164" s="568"/>
      <c r="J164" s="563"/>
      <c r="K164" s="591" t="s">
        <v>601</v>
      </c>
      <c r="L164" s="592" t="s">
        <v>936</v>
      </c>
      <c r="M164" s="593" t="s">
        <v>1001</v>
      </c>
      <c r="N164" s="777"/>
      <c r="P164" s="822"/>
      <c r="Q164" s="964"/>
      <c r="R164" s="914" t="s">
        <v>669</v>
      </c>
      <c r="S164" s="815">
        <v>1442</v>
      </c>
      <c r="T164" s="559" t="s">
        <v>997</v>
      </c>
      <c r="U164" s="828" t="s">
        <v>997</v>
      </c>
      <c r="V164" s="828" t="s">
        <v>997</v>
      </c>
      <c r="W164" s="828" t="str">
        <f>G130</f>
        <v>　</v>
      </c>
      <c r="X164" s="828" t="s">
        <v>669</v>
      </c>
      <c r="Y164" s="819"/>
      <c r="Z164" s="819"/>
      <c r="AA164" s="819"/>
      <c r="AB164" s="1017"/>
      <c r="AC164" s="1008"/>
      <c r="AD164" s="67"/>
      <c r="AE164" s="68"/>
      <c r="AF164" s="68"/>
    </row>
    <row r="165" spans="1:32" ht="18.75" customHeight="1">
      <c r="A165" s="601">
        <v>1</v>
      </c>
      <c r="B165" s="657" t="s">
        <v>787</v>
      </c>
      <c r="C165" s="617">
        <v>10</v>
      </c>
      <c r="D165" s="631"/>
      <c r="E165" s="563"/>
      <c r="F165" s="601">
        <v>1</v>
      </c>
      <c r="G165" s="657" t="s">
        <v>787</v>
      </c>
      <c r="H165" s="617">
        <v>10</v>
      </c>
      <c r="I165" s="568"/>
      <c r="J165" s="563"/>
      <c r="K165" s="601">
        <v>1</v>
      </c>
      <c r="L165" s="657" t="s">
        <v>787</v>
      </c>
      <c r="M165" s="617">
        <v>10</v>
      </c>
      <c r="N165" s="777"/>
      <c r="P165" s="822"/>
      <c r="Q165" s="964"/>
      <c r="R165" s="1010"/>
      <c r="S165" s="959">
        <v>1443</v>
      </c>
      <c r="T165" s="1011">
        <f>H127</f>
        <v>-2</v>
      </c>
      <c r="U165" s="1012">
        <f>H128</f>
        <v>0</v>
      </c>
      <c r="V165" s="1012">
        <f>H129</f>
        <v>-1</v>
      </c>
      <c r="W165" s="1012" t="str">
        <f>H130</f>
        <v>　</v>
      </c>
      <c r="X165" s="1012" t="s">
        <v>669</v>
      </c>
      <c r="Y165" s="1013"/>
      <c r="Z165" s="1013"/>
      <c r="AA165" s="1013"/>
      <c r="AB165" s="1018"/>
      <c r="AC165" s="1014"/>
      <c r="AD165" s="67"/>
      <c r="AE165" s="68"/>
      <c r="AF165" s="68"/>
    </row>
    <row r="166" spans="1:32" ht="18.75" customHeight="1">
      <c r="A166" s="601">
        <v>2</v>
      </c>
      <c r="B166" s="657" t="s">
        <v>937</v>
      </c>
      <c r="C166" s="617">
        <v>5</v>
      </c>
      <c r="D166" s="631"/>
      <c r="E166" s="563"/>
      <c r="F166" s="601">
        <v>2</v>
      </c>
      <c r="G166" s="657" t="s">
        <v>937</v>
      </c>
      <c r="H166" s="617">
        <v>5</v>
      </c>
      <c r="I166" s="568"/>
      <c r="J166" s="563"/>
      <c r="K166" s="601">
        <v>2</v>
      </c>
      <c r="L166" s="657" t="s">
        <v>937</v>
      </c>
      <c r="M166" s="617">
        <v>5</v>
      </c>
      <c r="N166" s="777"/>
      <c r="P166" s="814" t="s">
        <v>997</v>
      </c>
      <c r="Q166" s="823" t="s">
        <v>997</v>
      </c>
      <c r="R166" s="914" t="s">
        <v>745</v>
      </c>
      <c r="S166" s="815">
        <v>1451</v>
      </c>
      <c r="T166" s="915" t="str">
        <f>L127</f>
        <v>未整備</v>
      </c>
      <c r="U166" s="916" t="str">
        <f>L128</f>
        <v>供給区域</v>
      </c>
      <c r="V166" s="916" t="str">
        <f>L129</f>
        <v>簡易ガス</v>
      </c>
      <c r="W166" s="916" t="str">
        <f>L130</f>
        <v>引込可</v>
      </c>
      <c r="X166" s="916" t="s">
        <v>669</v>
      </c>
      <c r="Y166" s="1015"/>
      <c r="Z166" s="916"/>
      <c r="AA166" s="916"/>
      <c r="AB166" s="1019"/>
      <c r="AC166" s="1016"/>
      <c r="AD166" s="67"/>
      <c r="AE166" s="68"/>
      <c r="AF166" s="68"/>
    </row>
    <row r="167" spans="1:32" ht="18.75" customHeight="1">
      <c r="A167" s="601">
        <v>3</v>
      </c>
      <c r="B167" s="657" t="s">
        <v>1219</v>
      </c>
      <c r="C167" s="617">
        <v>2.5</v>
      </c>
      <c r="D167" s="631"/>
      <c r="E167" s="563"/>
      <c r="F167" s="601">
        <v>3</v>
      </c>
      <c r="G167" s="657" t="s">
        <v>1219</v>
      </c>
      <c r="H167" s="617">
        <v>2.5</v>
      </c>
      <c r="I167" s="568"/>
      <c r="J167" s="563"/>
      <c r="K167" s="601">
        <v>3</v>
      </c>
      <c r="L167" s="657" t="s">
        <v>1219</v>
      </c>
      <c r="M167" s="617">
        <v>2.5</v>
      </c>
      <c r="N167" s="777"/>
      <c r="P167" s="822"/>
      <c r="Q167" s="823"/>
      <c r="R167" s="964"/>
      <c r="S167" s="815">
        <v>1452</v>
      </c>
      <c r="T167" s="559" t="s">
        <v>997</v>
      </c>
      <c r="U167" s="828" t="s">
        <v>997</v>
      </c>
      <c r="V167" s="828" t="s">
        <v>997</v>
      </c>
      <c r="W167" s="828" t="s">
        <v>997</v>
      </c>
      <c r="X167" s="828" t="s">
        <v>669</v>
      </c>
      <c r="Y167" s="819"/>
      <c r="Z167" s="828"/>
      <c r="AA167" s="828"/>
      <c r="AB167" s="1017"/>
      <c r="AC167" s="821"/>
      <c r="AD167" s="67"/>
      <c r="AE167" s="68"/>
      <c r="AF167" s="68"/>
    </row>
    <row r="168" spans="1:32" ht="18.75" customHeight="1">
      <c r="A168" s="601">
        <v>4</v>
      </c>
      <c r="B168" s="657" t="s">
        <v>736</v>
      </c>
      <c r="C168" s="617">
        <v>0</v>
      </c>
      <c r="D168" s="631"/>
      <c r="E168" s="563"/>
      <c r="F168" s="601">
        <v>4</v>
      </c>
      <c r="G168" s="657" t="s">
        <v>736</v>
      </c>
      <c r="H168" s="617">
        <v>0</v>
      </c>
      <c r="I168" s="568"/>
      <c r="J168" s="563"/>
      <c r="K168" s="601">
        <v>4</v>
      </c>
      <c r="L168" s="657" t="s">
        <v>736</v>
      </c>
      <c r="M168" s="617">
        <v>0</v>
      </c>
      <c r="N168" s="777"/>
      <c r="P168" s="822"/>
      <c r="Q168" s="1009"/>
      <c r="R168" s="1009"/>
      <c r="S168" s="959">
        <v>1453</v>
      </c>
      <c r="T168" s="1011">
        <f>M127</f>
        <v>-2</v>
      </c>
      <c r="U168" s="1012">
        <f>M128</f>
        <v>0</v>
      </c>
      <c r="V168" s="1012">
        <f>M129</f>
        <v>-1</v>
      </c>
      <c r="W168" s="1012">
        <f>M130</f>
        <v>-1</v>
      </c>
      <c r="X168" s="1012" t="s">
        <v>669</v>
      </c>
      <c r="Y168" s="1013"/>
      <c r="Z168" s="1020"/>
      <c r="AA168" s="1020"/>
      <c r="AB168" s="1018"/>
      <c r="AC168" s="966"/>
      <c r="AD168" s="67"/>
      <c r="AE168" s="68"/>
      <c r="AF168" s="68"/>
    </row>
    <row r="169" spans="1:32" ht="18.75" customHeight="1">
      <c r="A169" s="601">
        <v>5</v>
      </c>
      <c r="B169" s="657" t="s">
        <v>910</v>
      </c>
      <c r="C169" s="785">
        <f>C167*-1</f>
        <v>-2.5</v>
      </c>
      <c r="D169" s="631"/>
      <c r="E169" s="563"/>
      <c r="F169" s="601">
        <v>5</v>
      </c>
      <c r="G169" s="657" t="s">
        <v>910</v>
      </c>
      <c r="H169" s="785">
        <f>H167*-1</f>
        <v>-2.5</v>
      </c>
      <c r="I169" s="568"/>
      <c r="J169" s="563"/>
      <c r="K169" s="601">
        <v>5</v>
      </c>
      <c r="L169" s="657" t="s">
        <v>910</v>
      </c>
      <c r="M169" s="785">
        <f>M167*-1</f>
        <v>-2.5</v>
      </c>
      <c r="N169" s="777"/>
      <c r="P169" s="814" t="s">
        <v>997</v>
      </c>
      <c r="Q169" s="1967" t="s">
        <v>69</v>
      </c>
      <c r="R169" s="1972" t="s">
        <v>70</v>
      </c>
      <c r="S169" s="809">
        <v>1461</v>
      </c>
      <c r="T169" s="810" t="s">
        <v>1166</v>
      </c>
      <c r="U169" s="811" t="s">
        <v>784</v>
      </c>
      <c r="V169" s="811" t="s">
        <v>784</v>
      </c>
      <c r="W169" s="811" t="s">
        <v>290</v>
      </c>
      <c r="X169" s="811" t="s">
        <v>785</v>
      </c>
      <c r="Y169" s="811" t="s">
        <v>785</v>
      </c>
      <c r="Z169" s="811" t="s">
        <v>786</v>
      </c>
      <c r="AA169" s="811" t="s">
        <v>786</v>
      </c>
      <c r="AB169" s="1021" t="s">
        <v>997</v>
      </c>
      <c r="AC169" s="1022"/>
      <c r="AD169" s="67"/>
      <c r="AE169" s="68"/>
      <c r="AF169" s="68"/>
    </row>
    <row r="170" spans="1:32" ht="18.75" customHeight="1">
      <c r="A170" s="601">
        <v>6</v>
      </c>
      <c r="B170" s="657" t="s">
        <v>918</v>
      </c>
      <c r="C170" s="785">
        <f>C166*-1</f>
        <v>-5</v>
      </c>
      <c r="D170" s="631"/>
      <c r="E170" s="563"/>
      <c r="F170" s="601">
        <v>6</v>
      </c>
      <c r="G170" s="657" t="s">
        <v>918</v>
      </c>
      <c r="H170" s="785">
        <f>H166*-1</f>
        <v>-5</v>
      </c>
      <c r="I170" s="568"/>
      <c r="J170" s="563"/>
      <c r="K170" s="601">
        <v>6</v>
      </c>
      <c r="L170" s="657" t="s">
        <v>918</v>
      </c>
      <c r="M170" s="785">
        <f>M166*-1</f>
        <v>-5</v>
      </c>
      <c r="N170" s="777"/>
      <c r="P170" s="814" t="s">
        <v>997</v>
      </c>
      <c r="Q170" s="1968"/>
      <c r="R170" s="1973"/>
      <c r="S170" s="815">
        <v>1462</v>
      </c>
      <c r="T170" s="559" t="s">
        <v>788</v>
      </c>
      <c r="U170" s="978">
        <f>K121</f>
        <v>2000</v>
      </c>
      <c r="V170" s="978">
        <f>K120</f>
        <v>1000</v>
      </c>
      <c r="W170" s="978">
        <f>K119</f>
        <v>600</v>
      </c>
      <c r="X170" s="978">
        <f>K118</f>
        <v>400</v>
      </c>
      <c r="Y170" s="978">
        <f>K117</f>
        <v>200</v>
      </c>
      <c r="Z170" s="978">
        <f>K116</f>
        <v>100</v>
      </c>
      <c r="AA170" s="978">
        <f>K115</f>
        <v>0</v>
      </c>
      <c r="AB170" s="1017"/>
      <c r="AC170" s="821"/>
      <c r="AD170" s="67"/>
      <c r="AE170" s="68"/>
      <c r="AF170" s="68"/>
    </row>
    <row r="171" spans="1:32" ht="18.75" customHeight="1">
      <c r="A171" s="601">
        <v>7</v>
      </c>
      <c r="B171" s="657" t="s">
        <v>789</v>
      </c>
      <c r="C171" s="785">
        <f>C165*-1</f>
        <v>-10</v>
      </c>
      <c r="D171" s="631"/>
      <c r="E171" s="563"/>
      <c r="F171" s="601">
        <v>7</v>
      </c>
      <c r="G171" s="657" t="s">
        <v>789</v>
      </c>
      <c r="H171" s="785">
        <f>H165*-1</f>
        <v>-10</v>
      </c>
      <c r="I171" s="568"/>
      <c r="J171" s="563"/>
      <c r="K171" s="601">
        <v>7</v>
      </c>
      <c r="L171" s="657" t="s">
        <v>789</v>
      </c>
      <c r="M171" s="785">
        <f>M165*-1</f>
        <v>-10</v>
      </c>
      <c r="N171" s="777"/>
      <c r="P171" s="822"/>
      <c r="Q171" s="1971"/>
      <c r="R171" s="1009"/>
      <c r="S171" s="959">
        <v>1463</v>
      </c>
      <c r="T171" s="1011">
        <f>M122</f>
        <v>0</v>
      </c>
      <c r="U171" s="1012">
        <f>M121</f>
        <v>-1</v>
      </c>
      <c r="V171" s="1012">
        <f>M120</f>
        <v>-2</v>
      </c>
      <c r="W171" s="1012">
        <f>M119</f>
        <v>-5</v>
      </c>
      <c r="X171" s="1012">
        <f>M118</f>
        <v>-10</v>
      </c>
      <c r="Y171" s="1013">
        <f>M117</f>
        <v>-15</v>
      </c>
      <c r="Z171" s="1020">
        <f>M116</f>
        <v>-20</v>
      </c>
      <c r="AA171" s="1020">
        <f>M115</f>
        <v>-25</v>
      </c>
      <c r="AB171" s="965" t="s">
        <v>997</v>
      </c>
      <c r="AC171" s="966"/>
      <c r="AD171" s="67"/>
      <c r="AE171" s="68"/>
      <c r="AF171" s="68"/>
    </row>
    <row r="172" spans="1:32" ht="18.75" customHeight="1" thickBot="1">
      <c r="A172" s="738">
        <v>8</v>
      </c>
      <c r="B172" s="667" t="s">
        <v>795</v>
      </c>
      <c r="C172" s="787">
        <v>0</v>
      </c>
      <c r="D172" s="631"/>
      <c r="E172" s="563"/>
      <c r="F172" s="738">
        <v>8</v>
      </c>
      <c r="G172" s="667" t="s">
        <v>800</v>
      </c>
      <c r="H172" s="787">
        <v>0</v>
      </c>
      <c r="I172" s="568"/>
      <c r="J172" s="563"/>
      <c r="K172" s="738"/>
      <c r="L172" s="667"/>
      <c r="M172" s="787"/>
      <c r="N172" s="777"/>
      <c r="P172" s="822" t="s">
        <v>669</v>
      </c>
      <c r="Q172" s="1023"/>
      <c r="R172" s="914" t="s">
        <v>974</v>
      </c>
      <c r="S172" s="815">
        <v>1471</v>
      </c>
      <c r="T172" s="915" t="s">
        <v>616</v>
      </c>
      <c r="U172" s="916" t="s">
        <v>467</v>
      </c>
      <c r="V172" s="916" t="s">
        <v>640</v>
      </c>
      <c r="W172" s="916" t="s">
        <v>727</v>
      </c>
      <c r="X172" s="916" t="s">
        <v>819</v>
      </c>
      <c r="Y172" s="1015"/>
      <c r="Z172" s="1015"/>
      <c r="AA172" s="1015"/>
      <c r="AB172" s="916"/>
      <c r="AC172" s="813"/>
      <c r="AD172" s="63"/>
      <c r="AE172" s="63"/>
      <c r="AF172" s="63"/>
    </row>
    <row r="173" spans="1:32" ht="18.75" customHeight="1" thickTop="1">
      <c r="A173" s="563"/>
      <c r="B173" s="563"/>
      <c r="C173" s="563"/>
      <c r="D173" s="563"/>
      <c r="E173" s="563"/>
      <c r="F173" s="563"/>
      <c r="G173" s="563"/>
      <c r="H173" s="563"/>
      <c r="I173" s="563"/>
      <c r="J173" s="563"/>
      <c r="K173" s="563"/>
      <c r="L173" s="563"/>
      <c r="M173" s="760"/>
      <c r="N173" s="777"/>
      <c r="P173" s="822"/>
      <c r="Q173" s="1023"/>
      <c r="R173" s="914"/>
      <c r="S173" s="815">
        <v>1472</v>
      </c>
      <c r="T173" s="559"/>
      <c r="U173" s="828"/>
      <c r="V173" s="828"/>
      <c r="W173" s="828"/>
      <c r="X173" s="828"/>
      <c r="Y173" s="819"/>
      <c r="Z173" s="819"/>
      <c r="AA173" s="819"/>
      <c r="AB173" s="828"/>
      <c r="AC173" s="829"/>
      <c r="AD173" s="63"/>
      <c r="AE173" s="63"/>
      <c r="AF173" s="63"/>
    </row>
    <row r="174" spans="1:32" ht="18.75" customHeight="1">
      <c r="A174" s="302" t="s">
        <v>71</v>
      </c>
      <c r="B174" s="302"/>
      <c r="C174" s="789"/>
      <c r="D174" s="789"/>
      <c r="E174" s="789"/>
      <c r="F174" s="789"/>
      <c r="G174" s="789"/>
      <c r="H174" s="789"/>
      <c r="I174" s="302"/>
      <c r="J174" s="302"/>
      <c r="K174" s="302"/>
      <c r="L174" s="302"/>
      <c r="M174" s="790"/>
      <c r="N174" s="777"/>
      <c r="P174" s="822"/>
      <c r="Q174" s="1023"/>
      <c r="R174" s="1010"/>
      <c r="S174" s="1024">
        <v>1473</v>
      </c>
      <c r="T174" s="915"/>
      <c r="U174" s="916"/>
      <c r="V174" s="916"/>
      <c r="W174" s="916"/>
      <c r="X174" s="916"/>
      <c r="Y174" s="1015"/>
      <c r="Z174" s="1015"/>
      <c r="AA174" s="1015"/>
      <c r="AB174" s="965"/>
      <c r="AC174" s="966"/>
      <c r="AD174" s="63"/>
      <c r="AE174" s="63"/>
      <c r="AF174" s="63"/>
    </row>
    <row r="175" spans="1:32" ht="18.75" customHeight="1">
      <c r="A175" s="791">
        <v>0</v>
      </c>
      <c r="B175" s="792" t="s">
        <v>80</v>
      </c>
      <c r="C175" s="793"/>
      <c r="D175" s="789"/>
      <c r="E175" s="789"/>
      <c r="F175" s="781"/>
      <c r="G175" s="781"/>
      <c r="H175" s="789"/>
      <c r="I175" s="302"/>
      <c r="J175" s="302"/>
      <c r="K175" s="302"/>
      <c r="L175" s="302"/>
      <c r="M175" s="302"/>
      <c r="N175" s="777"/>
      <c r="P175" s="822" t="s">
        <v>669</v>
      </c>
      <c r="Q175" s="1023"/>
      <c r="R175" s="914" t="s">
        <v>974</v>
      </c>
      <c r="S175" s="809">
        <v>1481</v>
      </c>
      <c r="T175" s="810" t="s">
        <v>616</v>
      </c>
      <c r="U175" s="811" t="s">
        <v>467</v>
      </c>
      <c r="V175" s="811" t="s">
        <v>640</v>
      </c>
      <c r="W175" s="811" t="s">
        <v>727</v>
      </c>
      <c r="X175" s="811" t="s">
        <v>819</v>
      </c>
      <c r="Y175" s="812"/>
      <c r="Z175" s="812"/>
      <c r="AA175" s="812"/>
      <c r="AB175" s="916"/>
      <c r="AC175" s="813"/>
      <c r="AD175" s="63"/>
      <c r="AE175" s="63"/>
      <c r="AF175" s="63"/>
    </row>
    <row r="176" spans="1:32" ht="18.75" customHeight="1">
      <c r="A176" s="791">
        <v>1</v>
      </c>
      <c r="B176" s="792" t="s">
        <v>72</v>
      </c>
      <c r="C176" s="789"/>
      <c r="D176" s="789"/>
      <c r="E176" s="794"/>
      <c r="F176" s="795"/>
      <c r="G176" s="795"/>
      <c r="H176" s="796"/>
      <c r="I176" s="549"/>
      <c r="J176" s="549" t="s">
        <v>669</v>
      </c>
      <c r="K176" s="549"/>
      <c r="L176" s="549"/>
      <c r="M176" s="549"/>
      <c r="N176" s="777"/>
      <c r="P176" s="822"/>
      <c r="Q176" s="1023"/>
      <c r="R176" s="914"/>
      <c r="S176" s="815">
        <v>1482</v>
      </c>
      <c r="T176" s="559"/>
      <c r="U176" s="828"/>
      <c r="V176" s="828"/>
      <c r="W176" s="828"/>
      <c r="X176" s="828"/>
      <c r="Y176" s="819"/>
      <c r="Z176" s="819"/>
      <c r="AA176" s="819"/>
      <c r="AB176" s="828"/>
      <c r="AC176" s="829"/>
      <c r="AD176" s="63"/>
      <c r="AE176" s="63"/>
      <c r="AF176" s="63"/>
    </row>
    <row r="177" spans="1:32" ht="18.75" customHeight="1">
      <c r="A177" s="791">
        <v>2</v>
      </c>
      <c r="B177" s="792" t="s">
        <v>73</v>
      </c>
      <c r="C177" s="789"/>
      <c r="D177" s="789"/>
      <c r="E177" s="789"/>
      <c r="F177" s="781"/>
      <c r="G177" s="781"/>
      <c r="H177" s="789"/>
      <c r="I177" s="302"/>
      <c r="J177" s="302"/>
      <c r="K177" s="302"/>
      <c r="L177" s="302"/>
      <c r="M177" s="790"/>
      <c r="N177" s="777"/>
      <c r="P177" s="822"/>
      <c r="Q177" s="1023"/>
      <c r="R177" s="1010"/>
      <c r="S177" s="1024">
        <v>1483</v>
      </c>
      <c r="T177" s="915"/>
      <c r="U177" s="916"/>
      <c r="V177" s="916"/>
      <c r="W177" s="916"/>
      <c r="X177" s="916"/>
      <c r="Y177" s="1015"/>
      <c r="Z177" s="1015"/>
      <c r="AA177" s="1015"/>
      <c r="AB177" s="965"/>
      <c r="AC177" s="966"/>
      <c r="AD177" s="63"/>
      <c r="AE177" s="63"/>
      <c r="AF177" s="63"/>
    </row>
    <row r="178" spans="1:32" ht="18.75" customHeight="1">
      <c r="A178" s="791">
        <v>3</v>
      </c>
      <c r="B178" s="792" t="s">
        <v>254</v>
      </c>
      <c r="C178" s="789"/>
      <c r="D178" s="797"/>
      <c r="E178" s="796"/>
      <c r="F178" s="795"/>
      <c r="G178" s="795"/>
      <c r="H178" s="796"/>
      <c r="I178" s="549"/>
      <c r="J178" s="549"/>
      <c r="K178" s="549"/>
      <c r="L178" s="549"/>
      <c r="M178" s="549"/>
      <c r="N178" s="777"/>
      <c r="P178" s="822" t="s">
        <v>669</v>
      </c>
      <c r="Q178" s="1023"/>
      <c r="R178" s="914" t="s">
        <v>974</v>
      </c>
      <c r="S178" s="809">
        <v>1491</v>
      </c>
      <c r="T178" s="810" t="s">
        <v>616</v>
      </c>
      <c r="U178" s="811" t="s">
        <v>467</v>
      </c>
      <c r="V178" s="811" t="s">
        <v>640</v>
      </c>
      <c r="W178" s="811" t="s">
        <v>727</v>
      </c>
      <c r="X178" s="811" t="s">
        <v>819</v>
      </c>
      <c r="Y178" s="812"/>
      <c r="Z178" s="812"/>
      <c r="AA178" s="812"/>
      <c r="AB178" s="916"/>
      <c r="AC178" s="813"/>
      <c r="AD178" s="63"/>
      <c r="AE178" s="63"/>
      <c r="AF178" s="63"/>
    </row>
    <row r="179" spans="1:32" ht="18.75" customHeight="1">
      <c r="A179" s="791">
        <v>4</v>
      </c>
      <c r="B179" s="792" t="s">
        <v>137</v>
      </c>
      <c r="C179" s="789"/>
      <c r="D179" s="789"/>
      <c r="E179" s="789"/>
      <c r="F179" s="781"/>
      <c r="G179" s="781"/>
      <c r="H179" s="789"/>
      <c r="I179" s="302"/>
      <c r="J179" s="302"/>
      <c r="K179" s="302"/>
      <c r="L179" s="302"/>
      <c r="M179" s="302"/>
      <c r="N179" s="777"/>
      <c r="P179" s="822"/>
      <c r="Q179" s="1023"/>
      <c r="R179" s="964"/>
      <c r="S179" s="815">
        <v>1492</v>
      </c>
      <c r="T179" s="559"/>
      <c r="U179" s="828"/>
      <c r="V179" s="828"/>
      <c r="W179" s="828"/>
      <c r="X179" s="828"/>
      <c r="Y179" s="819"/>
      <c r="Z179" s="819"/>
      <c r="AA179" s="819"/>
      <c r="AB179" s="828"/>
      <c r="AC179" s="829"/>
      <c r="AD179" s="63"/>
      <c r="AE179" s="63"/>
      <c r="AF179" s="63"/>
    </row>
    <row r="180" spans="1:32" ht="18.75" customHeight="1" thickBot="1">
      <c r="A180" s="791">
        <v>5</v>
      </c>
      <c r="B180" s="792"/>
      <c r="C180" s="789"/>
      <c r="D180" s="789"/>
      <c r="E180" s="789"/>
      <c r="F180" s="781"/>
      <c r="G180" s="781"/>
      <c r="H180" s="789"/>
      <c r="I180" s="302"/>
      <c r="J180" s="302"/>
      <c r="K180" s="302"/>
      <c r="L180" s="302"/>
      <c r="M180" s="302"/>
      <c r="N180" s="777"/>
      <c r="P180" s="1025"/>
      <c r="Q180" s="1026"/>
      <c r="R180" s="1027"/>
      <c r="S180" s="1028">
        <v>1493</v>
      </c>
      <c r="T180" s="1029"/>
      <c r="U180" s="1030"/>
      <c r="V180" s="1030"/>
      <c r="W180" s="1030"/>
      <c r="X180" s="1030"/>
      <c r="Y180" s="1031"/>
      <c r="Z180" s="1031"/>
      <c r="AA180" s="1031"/>
      <c r="AB180" s="1030"/>
      <c r="AC180" s="1032"/>
      <c r="AD180" s="63"/>
      <c r="AE180" s="63"/>
      <c r="AF180" s="63"/>
    </row>
    <row r="181" spans="1:32" ht="18.75" customHeight="1" thickTop="1">
      <c r="A181" s="789"/>
      <c r="B181" s="789"/>
      <c r="C181" s="789"/>
      <c r="D181" s="789"/>
      <c r="E181" s="789"/>
      <c r="F181" s="789"/>
      <c r="G181" s="789"/>
      <c r="H181" s="789"/>
      <c r="I181" s="302"/>
      <c r="J181" s="302"/>
      <c r="K181" s="302"/>
      <c r="L181" s="302"/>
      <c r="M181" s="302"/>
      <c r="P181" s="911" t="s">
        <v>150</v>
      </c>
      <c r="Q181" s="1033"/>
      <c r="R181" s="912"/>
      <c r="S181" s="560"/>
      <c r="T181" s="955"/>
      <c r="U181" s="955"/>
      <c r="V181" s="955"/>
      <c r="W181" s="955"/>
      <c r="X181" s="955"/>
      <c r="Y181" s="800"/>
      <c r="Z181" s="1034"/>
      <c r="AA181" s="1034"/>
      <c r="AB181" s="560"/>
      <c r="AC181" s="560"/>
      <c r="AD181" s="63"/>
      <c r="AE181" s="63"/>
      <c r="AF181" s="63"/>
    </row>
    <row r="182" spans="1:32" ht="18.75" customHeight="1">
      <c r="A182" s="302"/>
      <c r="B182" s="302"/>
      <c r="C182" s="302"/>
      <c r="D182" s="302"/>
      <c r="E182" s="302"/>
      <c r="F182" s="302"/>
      <c r="G182" s="302"/>
      <c r="H182" s="302"/>
      <c r="I182" s="302"/>
      <c r="J182" s="302"/>
      <c r="K182" s="302"/>
      <c r="L182" s="302"/>
      <c r="M182" s="302"/>
      <c r="P182" s="911" t="s">
        <v>121</v>
      </c>
      <c r="Q182" s="1033"/>
      <c r="R182" s="912"/>
      <c r="S182" s="560"/>
      <c r="T182" s="955"/>
      <c r="U182" s="955"/>
      <c r="V182" s="955"/>
      <c r="W182" s="955"/>
      <c r="X182" s="955"/>
      <c r="Y182" s="800"/>
      <c r="Z182" s="1034"/>
      <c r="AA182" s="1034"/>
      <c r="AB182" s="560"/>
      <c r="AC182" s="560"/>
      <c r="AD182" s="63"/>
      <c r="AE182" s="63"/>
      <c r="AF182" s="63"/>
    </row>
    <row r="183" spans="1:32" ht="18.75" customHeight="1">
      <c r="A183" s="563"/>
      <c r="B183" s="563"/>
      <c r="C183" s="563"/>
      <c r="D183" s="563"/>
      <c r="E183" s="563"/>
      <c r="F183" s="563"/>
      <c r="G183" s="563"/>
      <c r="H183" s="563"/>
      <c r="I183" s="563"/>
      <c r="J183" s="563"/>
      <c r="K183" s="563"/>
      <c r="L183" s="563"/>
      <c r="M183" s="563"/>
      <c r="P183" s="911" t="s">
        <v>205</v>
      </c>
      <c r="Q183" s="1033"/>
      <c r="R183" s="912"/>
      <c r="S183" s="560"/>
      <c r="T183" s="955"/>
      <c r="U183" s="955"/>
      <c r="V183" s="955"/>
      <c r="W183" s="955"/>
      <c r="X183" s="955"/>
      <c r="Y183" s="800"/>
      <c r="Z183" s="1034"/>
      <c r="AA183" s="1034"/>
      <c r="AB183" s="560"/>
      <c r="AC183" s="560"/>
      <c r="AD183" s="63"/>
      <c r="AE183" s="63"/>
      <c r="AF183" s="63"/>
    </row>
    <row r="184" spans="16:32" ht="18.75" customHeight="1">
      <c r="P184" s="911" t="s">
        <v>66</v>
      </c>
      <c r="Q184" s="1033"/>
      <c r="R184" s="912"/>
      <c r="S184" s="560"/>
      <c r="T184" s="955"/>
      <c r="U184" s="955"/>
      <c r="V184" s="955"/>
      <c r="W184" s="955"/>
      <c r="X184" s="955"/>
      <c r="Y184" s="800"/>
      <c r="Z184" s="1034"/>
      <c r="AA184" s="1034"/>
      <c r="AB184" s="560"/>
      <c r="AC184" s="560"/>
      <c r="AD184" s="63"/>
      <c r="AE184" s="63"/>
      <c r="AF184" s="63"/>
    </row>
    <row r="185" spans="16:32" ht="18.75" customHeight="1">
      <c r="P185" s="912"/>
      <c r="Q185" s="1033"/>
      <c r="R185" s="912"/>
      <c r="S185" s="560"/>
      <c r="T185" s="955"/>
      <c r="U185" s="955"/>
      <c r="V185" s="955"/>
      <c r="W185" s="955"/>
      <c r="X185" s="955"/>
      <c r="Y185" s="800"/>
      <c r="Z185" s="1034"/>
      <c r="AA185" s="1034"/>
      <c r="AB185" s="560"/>
      <c r="AC185" s="560"/>
      <c r="AD185" s="63"/>
      <c r="AE185" s="63"/>
      <c r="AF185" s="63"/>
    </row>
    <row r="186" spans="16:32" ht="18.75" customHeight="1" thickBot="1">
      <c r="P186" s="799" t="s">
        <v>303</v>
      </c>
      <c r="Q186" s="1004"/>
      <c r="R186" s="1970" t="str">
        <f>A4</f>
        <v>一般住宅地</v>
      </c>
      <c r="S186" s="1970"/>
      <c r="T186" s="1970"/>
      <c r="U186" s="1004"/>
      <c r="V186" s="1004"/>
      <c r="W186" s="1004"/>
      <c r="X186" s="1004"/>
      <c r="Y186" s="1004"/>
      <c r="Z186" s="1004"/>
      <c r="AA186" s="1978" t="str">
        <f>"鑑第岐 "&amp;'評価書作成'!B13&amp;" 号"</f>
        <v>鑑第岐 99999 号</v>
      </c>
      <c r="AB186" s="1978"/>
      <c r="AC186" s="560" t="s">
        <v>1183</v>
      </c>
      <c r="AD186" s="90"/>
      <c r="AE186" s="90"/>
      <c r="AF186" s="90"/>
    </row>
    <row r="187" spans="16:32" ht="18.75" customHeight="1" thickTop="1">
      <c r="P187" s="801" t="s">
        <v>298</v>
      </c>
      <c r="Q187" s="802" t="s">
        <v>972</v>
      </c>
      <c r="R187" s="802" t="s">
        <v>973</v>
      </c>
      <c r="S187" s="803" t="s">
        <v>663</v>
      </c>
      <c r="T187" s="1005" t="s">
        <v>299</v>
      </c>
      <c r="U187" s="1006"/>
      <c r="V187" s="1006"/>
      <c r="W187" s="1006"/>
      <c r="X187" s="1006"/>
      <c r="Y187" s="1006"/>
      <c r="Z187" s="1006"/>
      <c r="AA187" s="1006"/>
      <c r="AB187" s="1006"/>
      <c r="AC187" s="1007"/>
      <c r="AD187" s="67"/>
      <c r="AE187" s="68"/>
      <c r="AF187" s="68"/>
    </row>
    <row r="188" spans="16:32" ht="18.75" customHeight="1">
      <c r="P188" s="976" t="s">
        <v>1288</v>
      </c>
      <c r="Q188" s="1961" t="s">
        <v>869</v>
      </c>
      <c r="R188" s="914" t="s">
        <v>809</v>
      </c>
      <c r="S188" s="815">
        <v>1501</v>
      </c>
      <c r="T188" s="915" t="str">
        <f>B135</f>
        <v>指定無し</v>
      </c>
      <c r="U188" s="811" t="str">
        <f>B136</f>
        <v>近隣商業</v>
      </c>
      <c r="V188" s="811" t="str">
        <f>B137</f>
        <v>商業</v>
      </c>
      <c r="W188" s="811" t="str">
        <f>B138</f>
        <v>工専</v>
      </c>
      <c r="X188" s="811" t="str">
        <f>B139</f>
        <v>工業</v>
      </c>
      <c r="Y188" s="1021" t="str">
        <f>B140</f>
        <v>準工業</v>
      </c>
      <c r="Z188" s="811" t="str">
        <f>B141</f>
        <v>一低専</v>
      </c>
      <c r="AA188" s="811" t="str">
        <f>B142</f>
        <v>二低専</v>
      </c>
      <c r="AB188" s="811" t="str">
        <f>B143</f>
        <v>一中専</v>
      </c>
      <c r="AC188" s="1035" t="str">
        <f>B144</f>
        <v>二中専</v>
      </c>
      <c r="AD188" s="77" t="str">
        <f>B145</f>
        <v>一住居</v>
      </c>
      <c r="AE188" s="68" t="str">
        <f>B146</f>
        <v>二住居</v>
      </c>
      <c r="AF188" s="68" t="str">
        <f>B147</f>
        <v>準住居</v>
      </c>
    </row>
    <row r="189" spans="16:32" ht="18.75" customHeight="1">
      <c r="P189" s="814" t="s">
        <v>686</v>
      </c>
      <c r="Q189" s="1962"/>
      <c r="R189" s="914" t="s">
        <v>905</v>
      </c>
      <c r="S189" s="815">
        <v>1502</v>
      </c>
      <c r="T189" s="1036" t="s">
        <v>669</v>
      </c>
      <c r="U189" s="1037" t="s">
        <v>669</v>
      </c>
      <c r="V189" s="1037" t="s">
        <v>669</v>
      </c>
      <c r="W189" s="1037" t="s">
        <v>669</v>
      </c>
      <c r="X189" s="1037" t="s">
        <v>669</v>
      </c>
      <c r="Y189" s="1038"/>
      <c r="Z189" s="819"/>
      <c r="AA189" s="819"/>
      <c r="AB189" s="820"/>
      <c r="AC189" s="1039"/>
      <c r="AD189" s="67"/>
      <c r="AE189" s="68"/>
      <c r="AF189" s="68"/>
    </row>
    <row r="190" spans="16:32" ht="18.75" customHeight="1">
      <c r="P190" s="822"/>
      <c r="Q190" s="964"/>
      <c r="R190" s="873" t="s">
        <v>184</v>
      </c>
      <c r="S190" s="896">
        <v>1503</v>
      </c>
      <c r="T190" s="1040">
        <f>C135</f>
        <v>0</v>
      </c>
      <c r="U190" s="1041">
        <f>C136</f>
        <v>5</v>
      </c>
      <c r="V190" s="1041">
        <f>C137</f>
        <v>8</v>
      </c>
      <c r="W190" s="1041">
        <f>C138</f>
        <v>-10</v>
      </c>
      <c r="X190" s="1041">
        <f>C139</f>
        <v>-5</v>
      </c>
      <c r="Y190" s="1041">
        <f>C140</f>
        <v>0</v>
      </c>
      <c r="Z190" s="890">
        <f>C141</f>
        <v>-10</v>
      </c>
      <c r="AA190" s="890">
        <f>C142</f>
        <v>-5</v>
      </c>
      <c r="AB190" s="890">
        <f>C143</f>
        <v>0</v>
      </c>
      <c r="AC190" s="1042">
        <f>C144</f>
        <v>0</v>
      </c>
      <c r="AD190" s="67">
        <f>C145</f>
        <v>0</v>
      </c>
      <c r="AE190" s="68">
        <f>C146</f>
        <v>0</v>
      </c>
      <c r="AF190" s="68">
        <f>C147</f>
        <v>3</v>
      </c>
    </row>
    <row r="191" spans="16:32" ht="18.75" customHeight="1">
      <c r="P191" s="838"/>
      <c r="Q191" s="847"/>
      <c r="R191" s="879" t="s">
        <v>997</v>
      </c>
      <c r="S191" s="937" t="s">
        <v>997</v>
      </c>
      <c r="T191" s="1043"/>
      <c r="U191" s="1044"/>
      <c r="V191" s="1044"/>
      <c r="W191" s="1045"/>
      <c r="X191" s="1045"/>
      <c r="Y191" s="1041" t="str">
        <f>B143</f>
        <v>一中専</v>
      </c>
      <c r="Z191" s="1046" t="str">
        <f>B144</f>
        <v>二中専</v>
      </c>
      <c r="AA191" s="853" t="str">
        <f>B145</f>
        <v>一住居</v>
      </c>
      <c r="AB191" s="853" t="str">
        <f>B146</f>
        <v>二住居</v>
      </c>
      <c r="AC191" s="1047" t="str">
        <f>B147</f>
        <v>準住居</v>
      </c>
      <c r="AD191" s="67"/>
      <c r="AE191" s="68"/>
      <c r="AF191" s="68"/>
    </row>
    <row r="192" spans="16:32" ht="18.75" customHeight="1">
      <c r="P192" s="838"/>
      <c r="Q192" s="847"/>
      <c r="R192" s="879"/>
      <c r="S192" s="937"/>
      <c r="T192" s="881"/>
      <c r="U192" s="882"/>
      <c r="V192" s="882"/>
      <c r="W192" s="861"/>
      <c r="X192" s="861"/>
      <c r="Y192" s="882"/>
      <c r="Z192" s="882"/>
      <c r="AA192" s="1048"/>
      <c r="AB192" s="861"/>
      <c r="AC192" s="1049"/>
      <c r="AD192" s="67"/>
      <c r="AE192" s="68"/>
      <c r="AF192" s="68"/>
    </row>
    <row r="193" spans="16:32" ht="18.75" customHeight="1">
      <c r="P193" s="838"/>
      <c r="Q193" s="847"/>
      <c r="R193" s="879"/>
      <c r="S193" s="937"/>
      <c r="T193" s="934"/>
      <c r="U193" s="935"/>
      <c r="V193" s="935"/>
      <c r="W193" s="947"/>
      <c r="X193" s="947"/>
      <c r="Y193" s="1050">
        <f>C143</f>
        <v>0</v>
      </c>
      <c r="Z193" s="1050">
        <f>C144</f>
        <v>0</v>
      </c>
      <c r="AA193" s="1051">
        <f>C145</f>
        <v>0</v>
      </c>
      <c r="AB193" s="1052">
        <f>C146</f>
        <v>0</v>
      </c>
      <c r="AC193" s="1053">
        <f>C147</f>
        <v>3</v>
      </c>
      <c r="AD193" s="67"/>
      <c r="AE193" s="68"/>
      <c r="AF193" s="68"/>
    </row>
    <row r="194" spans="16:32" ht="18.75" customHeight="1">
      <c r="P194" s="838" t="s">
        <v>669</v>
      </c>
      <c r="Q194" s="847" t="s">
        <v>669</v>
      </c>
      <c r="R194" s="848" t="s">
        <v>447</v>
      </c>
      <c r="S194" s="849">
        <v>1511</v>
      </c>
      <c r="T194" s="850" t="s">
        <v>819</v>
      </c>
      <c r="U194" s="851" t="s">
        <v>819</v>
      </c>
      <c r="V194" s="851" t="s">
        <v>819</v>
      </c>
      <c r="W194" s="851" t="s">
        <v>727</v>
      </c>
      <c r="X194" s="851" t="s">
        <v>640</v>
      </c>
      <c r="Y194" s="851" t="s">
        <v>640</v>
      </c>
      <c r="Z194" s="851" t="s">
        <v>467</v>
      </c>
      <c r="AA194" s="851" t="s">
        <v>616</v>
      </c>
      <c r="AB194" s="851" t="s">
        <v>616</v>
      </c>
      <c r="AC194" s="1054" t="s">
        <v>1191</v>
      </c>
      <c r="AD194" s="67"/>
      <c r="AE194" s="68"/>
      <c r="AF194" s="68"/>
    </row>
    <row r="195" spans="16:32" ht="18.75" customHeight="1">
      <c r="P195" s="838"/>
      <c r="Q195" s="847" t="s">
        <v>669</v>
      </c>
      <c r="R195" s="847" t="s">
        <v>669</v>
      </c>
      <c r="S195" s="856">
        <v>1512</v>
      </c>
      <c r="T195" s="1055">
        <f>F136</f>
        <v>50</v>
      </c>
      <c r="U195" s="1056">
        <f>F136</f>
        <v>50</v>
      </c>
      <c r="V195" s="1056">
        <f>F137</f>
        <v>80</v>
      </c>
      <c r="W195" s="1056">
        <f>F138</f>
        <v>100</v>
      </c>
      <c r="X195" s="1056">
        <f>F139</f>
        <v>150</v>
      </c>
      <c r="Y195" s="1056">
        <f>F140</f>
        <v>200</v>
      </c>
      <c r="Z195" s="1057">
        <f>F141</f>
        <v>300</v>
      </c>
      <c r="AA195" s="1057">
        <f>F142</f>
        <v>400</v>
      </c>
      <c r="AB195" s="1058">
        <f>F143</f>
        <v>500</v>
      </c>
      <c r="AC195" s="1059">
        <f>F144</f>
        <v>999</v>
      </c>
      <c r="AD195" s="91" t="str">
        <f>F145</f>
        <v> </v>
      </c>
      <c r="AE195" s="68"/>
      <c r="AF195" s="68"/>
    </row>
    <row r="196" spans="16:32" ht="18.75" customHeight="1">
      <c r="P196" s="838"/>
      <c r="Q196" s="847"/>
      <c r="R196" s="847"/>
      <c r="S196" s="856">
        <v>1513</v>
      </c>
      <c r="T196" s="881">
        <f>H135</f>
        <v>-20</v>
      </c>
      <c r="U196" s="882">
        <f>H136</f>
        <v>-10</v>
      </c>
      <c r="V196" s="882">
        <f>H137</f>
        <v>-8</v>
      </c>
      <c r="W196" s="882">
        <f>H138</f>
        <v>-5</v>
      </c>
      <c r="X196" s="882">
        <f>H139</f>
        <v>-2.5</v>
      </c>
      <c r="Y196" s="882">
        <f>H140</f>
        <v>0</v>
      </c>
      <c r="Z196" s="939">
        <f>H141</f>
        <v>2.5</v>
      </c>
      <c r="AA196" s="939">
        <f>H142</f>
        <v>5</v>
      </c>
      <c r="AB196" s="890">
        <f>H143</f>
        <v>7.5</v>
      </c>
      <c r="AC196" s="1042">
        <f>H144</f>
        <v>10</v>
      </c>
      <c r="AD196" s="92" t="str">
        <f>H145</f>
        <v> </v>
      </c>
      <c r="AE196" s="68"/>
      <c r="AF196" s="68"/>
    </row>
    <row r="197" spans="16:29" ht="18.75" customHeight="1">
      <c r="P197" s="838"/>
      <c r="Q197" s="847"/>
      <c r="R197" s="831" t="s">
        <v>1014</v>
      </c>
      <c r="S197" s="832">
        <v>1514</v>
      </c>
      <c r="T197" s="833">
        <f>ROUND((U196-T196)/(U195-0)*('比準演算'!F76-T195)+T196,1)</f>
        <v>10</v>
      </c>
      <c r="U197" s="834">
        <f>ROUND((V196-U196)/(V195-U195)*('比準演算'!F76-U195)+U196,1)</f>
        <v>0</v>
      </c>
      <c r="V197" s="834">
        <f>ROUND((W196-V196)/(W195-V195)*('比準演算'!F76-V195)+V196,1)</f>
        <v>10</v>
      </c>
      <c r="W197" s="834">
        <f>ROUND((X196-W196)/(X195-W195)*('比準演算'!F76-W195)+W196,1)</f>
        <v>0</v>
      </c>
      <c r="X197" s="834">
        <f>ROUND((Y196-X196)/(Y195-X195)*('比準演算'!F76-X195)+X196,1)</f>
        <v>0</v>
      </c>
      <c r="Y197" s="834">
        <f>ROUND((Z196-Y196)/(Z195-Y195)*('比準演算'!F76-Y195)+Y196,1)</f>
        <v>0</v>
      </c>
      <c r="Z197" s="834">
        <f>ROUND((AA196-Z196)/(AA195-Z195)*('比準演算'!F76-Z195)+Z196,1)</f>
        <v>0</v>
      </c>
      <c r="AA197" s="834">
        <f>ROUND((AB196-AA196)/(AB195-AA195)*('比準演算'!F76-AA195)+AA196,1)</f>
        <v>0</v>
      </c>
      <c r="AB197" s="1060">
        <f>ROUND((AC196-AB196)/(AC195-AB195)*('比準演算'!F76-AB195)+AB196,1)</f>
        <v>6</v>
      </c>
      <c r="AC197" s="1061" t="s">
        <v>669</v>
      </c>
    </row>
    <row r="198" spans="16:29" ht="18.75" customHeight="1">
      <c r="P198" s="838"/>
      <c r="Q198" s="847"/>
      <c r="R198" s="840" t="s">
        <v>1220</v>
      </c>
      <c r="S198" s="841">
        <v>1515</v>
      </c>
      <c r="T198" s="833">
        <f>ROUND((U196-T196)/(U195-0)*('比準演算'!F75-T195)+T196,1)</f>
        <v>2</v>
      </c>
      <c r="U198" s="834">
        <f>ROUND((V196-U196)/(V195-U195)*('比準演算'!F75-U195)+U196,1)</f>
        <v>-2.7</v>
      </c>
      <c r="V198" s="834">
        <f>ROUND((W196-V196)/(W195-V195)*('比準演算'!F75-V195)+V196,1)</f>
        <v>4</v>
      </c>
      <c r="W198" s="834">
        <f>ROUND((X196-W196)/(X195-W195)*('比準演算'!F75-W195)+W196,1)</f>
        <v>-2</v>
      </c>
      <c r="X198" s="834">
        <f>ROUND((Y196-X196)/(Y195-X195)*('比準演算'!F75-X195)+X196,1)</f>
        <v>-2</v>
      </c>
      <c r="Y198" s="834">
        <f>ROUND((Z196-Y196)/(Z195-Y195)*('比準演算'!F75-Y195)+Y196,1)</f>
        <v>-1</v>
      </c>
      <c r="Z198" s="834">
        <f>ROUND((AA196-Z196)/(AA195-Z195)*('比準演算'!F75-Z195)+Z196,1)</f>
        <v>-1</v>
      </c>
      <c r="AA198" s="834">
        <f>ROUND((AB196-AA196)/(AB195-AA195)*('比準演算'!F75-AA195)+AA196,1)</f>
        <v>-1</v>
      </c>
      <c r="AB198" s="1062">
        <f>ROUND((AC196-AB196)/(AC195-AB195)*('比準演算'!F75-AB195)+AB196,1)</f>
        <v>5.8</v>
      </c>
      <c r="AC198" s="1063"/>
    </row>
    <row r="199" spans="16:32" ht="18.75" customHeight="1">
      <c r="P199" s="838" t="s">
        <v>669</v>
      </c>
      <c r="Q199" s="847" t="s">
        <v>669</v>
      </c>
      <c r="R199" s="848" t="s">
        <v>437</v>
      </c>
      <c r="S199" s="849">
        <v>1521</v>
      </c>
      <c r="T199" s="850" t="s">
        <v>819</v>
      </c>
      <c r="U199" s="851" t="s">
        <v>819</v>
      </c>
      <c r="V199" s="851" t="s">
        <v>819</v>
      </c>
      <c r="W199" s="851" t="s">
        <v>727</v>
      </c>
      <c r="X199" s="851" t="s">
        <v>640</v>
      </c>
      <c r="Y199" s="851" t="s">
        <v>640</v>
      </c>
      <c r="Z199" s="851" t="s">
        <v>467</v>
      </c>
      <c r="AA199" s="851" t="s">
        <v>616</v>
      </c>
      <c r="AB199" s="851" t="s">
        <v>138</v>
      </c>
      <c r="AC199" s="854" t="s">
        <v>1276</v>
      </c>
      <c r="AD199" s="67"/>
      <c r="AE199" s="68"/>
      <c r="AF199" s="68"/>
    </row>
    <row r="200" spans="16:32" ht="18.75" customHeight="1">
      <c r="P200" s="838"/>
      <c r="Q200" s="847" t="s">
        <v>669</v>
      </c>
      <c r="R200" s="847" t="s">
        <v>669</v>
      </c>
      <c r="S200" s="856">
        <v>1522</v>
      </c>
      <c r="T200" s="1055">
        <f>K136</f>
        <v>30</v>
      </c>
      <c r="U200" s="1056">
        <f>K136</f>
        <v>30</v>
      </c>
      <c r="V200" s="1056">
        <f>K137</f>
        <v>40</v>
      </c>
      <c r="W200" s="1056">
        <f>K138</f>
        <v>50</v>
      </c>
      <c r="X200" s="1056">
        <f>K139</f>
        <v>60</v>
      </c>
      <c r="Y200" s="1056">
        <f>K140</f>
        <v>70</v>
      </c>
      <c r="Z200" s="1057">
        <f>K141</f>
        <v>80</v>
      </c>
      <c r="AA200" s="1057">
        <f>K142</f>
        <v>90</v>
      </c>
      <c r="AB200" s="1064">
        <f>K143</f>
        <v>100</v>
      </c>
      <c r="AC200" s="1065" t="s">
        <v>1276</v>
      </c>
      <c r="AD200" s="67"/>
      <c r="AE200" s="68"/>
      <c r="AF200" s="68"/>
    </row>
    <row r="201" spans="16:32" ht="18.75" customHeight="1">
      <c r="P201" s="838"/>
      <c r="Q201" s="847"/>
      <c r="R201" s="989"/>
      <c r="S201" s="896">
        <v>1523</v>
      </c>
      <c r="T201" s="1040">
        <f>M135</f>
        <v>-10</v>
      </c>
      <c r="U201" s="1041">
        <f>M136</f>
        <v>-8</v>
      </c>
      <c r="V201" s="1041">
        <f>M137</f>
        <v>-6</v>
      </c>
      <c r="W201" s="1041">
        <f>M138</f>
        <v>-3</v>
      </c>
      <c r="X201" s="1041">
        <f>M139</f>
        <v>0</v>
      </c>
      <c r="Y201" s="1041">
        <f>M140</f>
        <v>2</v>
      </c>
      <c r="Z201" s="890">
        <f>M141</f>
        <v>4</v>
      </c>
      <c r="AA201" s="890">
        <f>M142</f>
        <v>6</v>
      </c>
      <c r="AB201" s="890">
        <f>M143</f>
        <v>8</v>
      </c>
      <c r="AC201" s="1042" t="str">
        <f>M144</f>
        <v>　</v>
      </c>
      <c r="AD201" s="67"/>
      <c r="AE201" s="68"/>
      <c r="AF201" s="68"/>
    </row>
    <row r="202" spans="16:29" ht="18.75" customHeight="1">
      <c r="P202" s="838"/>
      <c r="Q202" s="847"/>
      <c r="R202" s="831" t="s">
        <v>1014</v>
      </c>
      <c r="S202" s="1066">
        <v>1524</v>
      </c>
      <c r="T202" s="1067">
        <f>ROUND((U201-T201)/(U200-0)*('比準演算'!O76-T200)+T201,1)</f>
        <v>-8</v>
      </c>
      <c r="U202" s="1060">
        <f>ROUND((V201-U201)/(V200-U200)*('比準演算'!O76-U200)+U201,1)</f>
        <v>-2</v>
      </c>
      <c r="V202" s="1060">
        <f>ROUND((W201-V201)/(W200-V200)*('比準演算'!O76-V200)+V201,1)</f>
        <v>0</v>
      </c>
      <c r="W202" s="1060">
        <f>ROUND((X201-W201)/(X200-W200)*('比準演算'!O76-W200)+W201,1)</f>
        <v>0</v>
      </c>
      <c r="X202" s="1060">
        <f>ROUND((Y201-X201)/(Y200-X200)*('比準演算'!O76-X200)+X201,1)</f>
        <v>0</v>
      </c>
      <c r="Y202" s="1060">
        <f>ROUND((Z201-Y201)/(Z200-Y200)*('比準演算'!O76-Y200)+Y201,1)</f>
        <v>0</v>
      </c>
      <c r="Z202" s="1060">
        <f>ROUND((AA201-Z201)/(AA200-Z200)*('比準演算'!O76-Z200)+Z201,1)</f>
        <v>0</v>
      </c>
      <c r="AA202" s="1060">
        <f>ROUND((AB201-AA201)/(AB200-AA200)*('比準演算'!O76-AA200)+AA201,1)</f>
        <v>0</v>
      </c>
      <c r="AB202" s="1060">
        <f>AB201</f>
        <v>8</v>
      </c>
      <c r="AC202" s="1061" t="s">
        <v>669</v>
      </c>
    </row>
    <row r="203" spans="16:29" ht="18.75" customHeight="1">
      <c r="P203" s="838"/>
      <c r="Q203" s="847"/>
      <c r="R203" s="840" t="s">
        <v>1220</v>
      </c>
      <c r="S203" s="841">
        <v>1525</v>
      </c>
      <c r="T203" s="833">
        <f>ROUND((U201-T201)/(U200-0)*('比準演算'!O75-T200)+T201,1)</f>
        <v>-7.3</v>
      </c>
      <c r="U203" s="834">
        <f>ROUND((V201-U201)/(V200-U200)*('比準演算'!O75-U200)+U201,1)</f>
        <v>0</v>
      </c>
      <c r="V203" s="834">
        <f>ROUND((W201-V201)/(W200-V200)*('比準演算'!O75-V200)+V201,1)</f>
        <v>3</v>
      </c>
      <c r="W203" s="834">
        <f>ROUND((X201-W201)/(X200-W200)*('比準演算'!O75-W200)+W201,1)</f>
        <v>3</v>
      </c>
      <c r="X203" s="834">
        <f>ROUND((Y201-X201)/(Y200-X200)*('比準演算'!O75-X200)+X201,1)</f>
        <v>2</v>
      </c>
      <c r="Y203" s="834">
        <f>ROUND((Z201-Y201)/(Z200-Y200)*('比準演算'!O75-Y200)+Y201,1)</f>
        <v>2</v>
      </c>
      <c r="Z203" s="834">
        <f>ROUND((AA201-Z201)/(AA200-Z200)*('比準演算'!O75-Z200)+Z201,1)</f>
        <v>2</v>
      </c>
      <c r="AA203" s="834">
        <f>ROUND((AB201-AA201)/(AB200-AA200)*('比準演算'!O75-AA200)+AA201,1)</f>
        <v>2</v>
      </c>
      <c r="AB203" s="834">
        <f>AB201</f>
        <v>8</v>
      </c>
      <c r="AC203" s="1063"/>
    </row>
    <row r="204" spans="16:32" ht="18.75" customHeight="1">
      <c r="P204" s="838"/>
      <c r="Q204" s="847"/>
      <c r="R204" s="879" t="s">
        <v>1135</v>
      </c>
      <c r="S204" s="856">
        <v>1531</v>
      </c>
      <c r="T204" s="1068" t="str">
        <f>G153</f>
        <v>無指定</v>
      </c>
      <c r="U204" s="1069" t="str">
        <f>G154</f>
        <v>防火地域</v>
      </c>
      <c r="V204" s="1069" t="str">
        <f>G155</f>
        <v>準防火地域</v>
      </c>
      <c r="W204" s="1069"/>
      <c r="X204" s="1069"/>
      <c r="Y204" s="1069"/>
      <c r="Z204" s="1070"/>
      <c r="AA204" s="1070"/>
      <c r="AB204" s="851"/>
      <c r="AC204" s="1071"/>
      <c r="AD204" s="67"/>
      <c r="AE204" s="68"/>
      <c r="AF204" s="68"/>
    </row>
    <row r="205" spans="16:32" ht="18.75" customHeight="1">
      <c r="P205" s="838"/>
      <c r="Q205" s="847"/>
      <c r="R205" s="879"/>
      <c r="S205" s="856">
        <v>1532</v>
      </c>
      <c r="T205" s="881"/>
      <c r="U205" s="882"/>
      <c r="V205" s="882"/>
      <c r="W205" s="882"/>
      <c r="X205" s="882"/>
      <c r="Y205" s="882"/>
      <c r="Z205" s="939"/>
      <c r="AA205" s="939"/>
      <c r="AB205" s="878"/>
      <c r="AC205" s="1072"/>
      <c r="AD205" s="67"/>
      <c r="AE205" s="68"/>
      <c r="AF205" s="68"/>
    </row>
    <row r="206" spans="16:32" ht="18.75" customHeight="1">
      <c r="P206" s="838"/>
      <c r="Q206" s="847"/>
      <c r="R206" s="879"/>
      <c r="S206" s="856">
        <v>1533</v>
      </c>
      <c r="T206" s="881">
        <f>H153</f>
        <v>0</v>
      </c>
      <c r="U206" s="882">
        <f>H154</f>
        <v>2</v>
      </c>
      <c r="V206" s="882">
        <f>H155</f>
        <v>1</v>
      </c>
      <c r="W206" s="882"/>
      <c r="X206" s="882"/>
      <c r="Y206" s="882"/>
      <c r="Z206" s="939"/>
      <c r="AA206" s="939"/>
      <c r="AB206" s="928"/>
      <c r="AC206" s="1073"/>
      <c r="AD206" s="67"/>
      <c r="AE206" s="68"/>
      <c r="AF206" s="68"/>
    </row>
    <row r="207" spans="16:32" ht="18.75" customHeight="1">
      <c r="P207" s="838" t="s">
        <v>669</v>
      </c>
      <c r="Q207" s="847" t="s">
        <v>669</v>
      </c>
      <c r="R207" s="848" t="s">
        <v>1192</v>
      </c>
      <c r="S207" s="849">
        <v>1541</v>
      </c>
      <c r="T207" s="850" t="str">
        <f>B153</f>
        <v>市街化区域</v>
      </c>
      <c r="U207" s="851" t="str">
        <f>B154</f>
        <v>非線引都計</v>
      </c>
      <c r="V207" s="851" t="str">
        <f>B155</f>
        <v>調整区域</v>
      </c>
      <c r="W207" s="851" t="str">
        <f>B156</f>
        <v>都計外</v>
      </c>
      <c r="X207" s="851" t="s">
        <v>997</v>
      </c>
      <c r="Y207" s="1074"/>
      <c r="Z207" s="852"/>
      <c r="AA207" s="852"/>
      <c r="AB207" s="853"/>
      <c r="AC207" s="1054"/>
      <c r="AD207" s="67"/>
      <c r="AE207" s="68"/>
      <c r="AF207" s="68"/>
    </row>
    <row r="208" spans="16:32" ht="18.75" customHeight="1">
      <c r="P208" s="838"/>
      <c r="Q208" s="847" t="s">
        <v>669</v>
      </c>
      <c r="R208" s="879" t="s">
        <v>669</v>
      </c>
      <c r="S208" s="856">
        <v>1542</v>
      </c>
      <c r="T208" s="1075"/>
      <c r="U208" s="1076"/>
      <c r="V208" s="1076"/>
      <c r="W208" s="1076"/>
      <c r="X208" s="1076"/>
      <c r="Y208" s="1048"/>
      <c r="Z208" s="861"/>
      <c r="AA208" s="861"/>
      <c r="AB208" s="862"/>
      <c r="AC208" s="1077"/>
      <c r="AD208" s="67"/>
      <c r="AE208" s="68"/>
      <c r="AF208" s="68"/>
    </row>
    <row r="209" spans="16:32" ht="18.75" customHeight="1">
      <c r="P209" s="838"/>
      <c r="Q209" s="847"/>
      <c r="R209" s="879"/>
      <c r="S209" s="856">
        <v>1543</v>
      </c>
      <c r="T209" s="881">
        <f>C153</f>
        <v>0</v>
      </c>
      <c r="U209" s="882">
        <f>C154</f>
        <v>0</v>
      </c>
      <c r="V209" s="882">
        <f>C155</f>
        <v>-20</v>
      </c>
      <c r="W209" s="882">
        <f>C156</f>
        <v>-10</v>
      </c>
      <c r="X209" s="882" t="s">
        <v>997</v>
      </c>
      <c r="Y209" s="1078"/>
      <c r="Z209" s="947"/>
      <c r="AA209" s="947"/>
      <c r="AB209" s="928"/>
      <c r="AC209" s="1073"/>
      <c r="AD209" s="67"/>
      <c r="AE209" s="68"/>
      <c r="AF209" s="68"/>
    </row>
    <row r="210" spans="16:32" ht="18.75" customHeight="1">
      <c r="P210" s="1079" t="s">
        <v>967</v>
      </c>
      <c r="Q210" s="849" t="str">
        <f>P210</f>
        <v>その他</v>
      </c>
      <c r="R210" s="848" t="s">
        <v>741</v>
      </c>
      <c r="S210" s="849">
        <v>1601</v>
      </c>
      <c r="T210" s="850" t="s">
        <v>846</v>
      </c>
      <c r="U210" s="851" t="s">
        <v>616</v>
      </c>
      <c r="V210" s="851" t="s">
        <v>467</v>
      </c>
      <c r="W210" s="851" t="s">
        <v>640</v>
      </c>
      <c r="X210" s="851" t="s">
        <v>727</v>
      </c>
      <c r="Y210" s="851" t="s">
        <v>819</v>
      </c>
      <c r="Z210" s="852" t="s">
        <v>1193</v>
      </c>
      <c r="AA210" s="851" t="str">
        <f>B172</f>
        <v>住居系</v>
      </c>
      <c r="AB210" s="853"/>
      <c r="AC210" s="1054"/>
      <c r="AD210" s="67"/>
      <c r="AE210" s="68"/>
      <c r="AF210" s="68"/>
    </row>
    <row r="211" spans="16:32" ht="18.75" customHeight="1">
      <c r="P211" s="922" t="s">
        <v>686</v>
      </c>
      <c r="Q211" s="847"/>
      <c r="R211" s="879"/>
      <c r="S211" s="856">
        <v>1602</v>
      </c>
      <c r="T211" s="937"/>
      <c r="U211" s="878"/>
      <c r="V211" s="878"/>
      <c r="W211" s="878"/>
      <c r="X211" s="878"/>
      <c r="Y211" s="861"/>
      <c r="Z211" s="861"/>
      <c r="AA211" s="861"/>
      <c r="AB211" s="862"/>
      <c r="AC211" s="1077"/>
      <c r="AD211" s="67"/>
      <c r="AE211" s="68"/>
      <c r="AF211" s="68"/>
    </row>
    <row r="212" spans="16:32" ht="18.75" customHeight="1">
      <c r="P212" s="838"/>
      <c r="Q212" s="847"/>
      <c r="R212" s="919"/>
      <c r="S212" s="880">
        <v>1603</v>
      </c>
      <c r="T212" s="1080">
        <f>C165</f>
        <v>10</v>
      </c>
      <c r="U212" s="883">
        <f>C166</f>
        <v>5</v>
      </c>
      <c r="V212" s="883">
        <f>C167</f>
        <v>2.5</v>
      </c>
      <c r="W212" s="883">
        <f>C168</f>
        <v>0</v>
      </c>
      <c r="X212" s="883">
        <f>C169</f>
        <v>-2.5</v>
      </c>
      <c r="Y212" s="883">
        <f>C170</f>
        <v>-5</v>
      </c>
      <c r="Z212" s="883">
        <f>C171</f>
        <v>-10</v>
      </c>
      <c r="AA212" s="883">
        <f>C172</f>
        <v>0</v>
      </c>
      <c r="AB212" s="928"/>
      <c r="AC212" s="1073"/>
      <c r="AD212" s="67"/>
      <c r="AE212" s="68"/>
      <c r="AF212" s="68"/>
    </row>
    <row r="213" spans="16:32" ht="18.75" customHeight="1">
      <c r="P213" s="922" t="s">
        <v>997</v>
      </c>
      <c r="Q213" s="847" t="s">
        <v>997</v>
      </c>
      <c r="R213" s="879" t="s">
        <v>370</v>
      </c>
      <c r="S213" s="856">
        <v>1611</v>
      </c>
      <c r="T213" s="850" t="s">
        <v>846</v>
      </c>
      <c r="U213" s="851" t="s">
        <v>616</v>
      </c>
      <c r="V213" s="851" t="s">
        <v>467</v>
      </c>
      <c r="W213" s="851" t="s">
        <v>640</v>
      </c>
      <c r="X213" s="851" t="s">
        <v>727</v>
      </c>
      <c r="Y213" s="851" t="s">
        <v>819</v>
      </c>
      <c r="Z213" s="852" t="s">
        <v>1193</v>
      </c>
      <c r="AA213" s="853" t="str">
        <f>G172</f>
        <v>商業系</v>
      </c>
      <c r="AB213" s="853"/>
      <c r="AC213" s="1054"/>
      <c r="AD213" s="67"/>
      <c r="AE213" s="68"/>
      <c r="AF213" s="68"/>
    </row>
    <row r="214" spans="16:32" ht="18.75" customHeight="1">
      <c r="P214" s="838"/>
      <c r="Q214" s="847"/>
      <c r="R214" s="847"/>
      <c r="S214" s="856">
        <v>1612</v>
      </c>
      <c r="T214" s="937"/>
      <c r="U214" s="878"/>
      <c r="V214" s="878"/>
      <c r="W214" s="878"/>
      <c r="X214" s="878"/>
      <c r="Y214" s="861"/>
      <c r="Z214" s="861"/>
      <c r="AA214" s="861"/>
      <c r="AB214" s="862"/>
      <c r="AC214" s="1077"/>
      <c r="AD214" s="67"/>
      <c r="AE214" s="68"/>
      <c r="AF214" s="68"/>
    </row>
    <row r="215" spans="16:32" ht="18.75" customHeight="1">
      <c r="P215" s="838"/>
      <c r="Q215" s="847"/>
      <c r="R215" s="996"/>
      <c r="S215" s="880">
        <v>1613</v>
      </c>
      <c r="T215" s="1080">
        <f>H165</f>
        <v>10</v>
      </c>
      <c r="U215" s="883">
        <f>H166</f>
        <v>5</v>
      </c>
      <c r="V215" s="883">
        <f>H167</f>
        <v>2.5</v>
      </c>
      <c r="W215" s="883">
        <f>H168</f>
        <v>0</v>
      </c>
      <c r="X215" s="883">
        <f>H169</f>
        <v>-2.5</v>
      </c>
      <c r="Y215" s="883">
        <f>H170</f>
        <v>-5</v>
      </c>
      <c r="Z215" s="883">
        <f>H171</f>
        <v>-10</v>
      </c>
      <c r="AA215" s="883">
        <f>H172</f>
        <v>0</v>
      </c>
      <c r="AB215" s="928"/>
      <c r="AC215" s="1073"/>
      <c r="AD215" s="67"/>
      <c r="AE215" s="68"/>
      <c r="AF215" s="68"/>
    </row>
    <row r="216" spans="16:32" ht="18.75" customHeight="1">
      <c r="P216" s="922" t="s">
        <v>997</v>
      </c>
      <c r="Q216" s="847" t="s">
        <v>997</v>
      </c>
      <c r="R216" s="1974" t="s">
        <v>1277</v>
      </c>
      <c r="S216" s="856">
        <v>1621</v>
      </c>
      <c r="T216" s="850" t="s">
        <v>846</v>
      </c>
      <c r="U216" s="851" t="s">
        <v>616</v>
      </c>
      <c r="V216" s="851" t="s">
        <v>467</v>
      </c>
      <c r="W216" s="851" t="s">
        <v>640</v>
      </c>
      <c r="X216" s="851" t="s">
        <v>727</v>
      </c>
      <c r="Y216" s="851" t="s">
        <v>819</v>
      </c>
      <c r="Z216" s="852" t="s">
        <v>1193</v>
      </c>
      <c r="AA216" s="868"/>
      <c r="AB216" s="853"/>
      <c r="AC216" s="1054"/>
      <c r="AD216" s="67"/>
      <c r="AE216" s="68"/>
      <c r="AF216" s="68"/>
    </row>
    <row r="217" spans="16:32" ht="18.75" customHeight="1">
      <c r="P217" s="838"/>
      <c r="Q217" s="847"/>
      <c r="R217" s="1975"/>
      <c r="S217" s="856">
        <v>1622</v>
      </c>
      <c r="T217" s="937"/>
      <c r="U217" s="878"/>
      <c r="V217" s="878"/>
      <c r="W217" s="878"/>
      <c r="X217" s="878"/>
      <c r="Y217" s="861"/>
      <c r="Z217" s="861"/>
      <c r="AA217" s="861"/>
      <c r="AB217" s="862"/>
      <c r="AC217" s="1077"/>
      <c r="AD217" s="67"/>
      <c r="AE217" s="68"/>
      <c r="AF217" s="68"/>
    </row>
    <row r="218" spans="16:32" ht="18.75" customHeight="1" thickBot="1">
      <c r="P218" s="902"/>
      <c r="Q218" s="903"/>
      <c r="R218" s="903"/>
      <c r="S218" s="949">
        <v>1623</v>
      </c>
      <c r="T218" s="1081">
        <f>M165</f>
        <v>10</v>
      </c>
      <c r="U218" s="1082">
        <f>M166</f>
        <v>5</v>
      </c>
      <c r="V218" s="1082">
        <f>M167</f>
        <v>2.5</v>
      </c>
      <c r="W218" s="1082">
        <f>M168</f>
        <v>0</v>
      </c>
      <c r="X218" s="1082">
        <f>M169</f>
        <v>-2.5</v>
      </c>
      <c r="Y218" s="1082">
        <f>M170</f>
        <v>-5</v>
      </c>
      <c r="Z218" s="1082">
        <f>M171</f>
        <v>-10</v>
      </c>
      <c r="AA218" s="952"/>
      <c r="AB218" s="953"/>
      <c r="AC218" s="1083"/>
      <c r="AD218" s="67"/>
      <c r="AE218" s="68"/>
      <c r="AF218" s="68"/>
    </row>
    <row r="219" spans="16:32" ht="18.75" customHeight="1" thickTop="1">
      <c r="P219" s="911" t="s">
        <v>139</v>
      </c>
      <c r="Q219" s="912"/>
      <c r="R219" s="912"/>
      <c r="S219" s="560"/>
      <c r="T219" s="1084"/>
      <c r="U219" s="1084"/>
      <c r="V219" s="1084"/>
      <c r="W219" s="1084"/>
      <c r="X219" s="1084"/>
      <c r="Y219" s="800"/>
      <c r="Z219" s="800"/>
      <c r="AA219" s="800"/>
      <c r="AB219" s="560"/>
      <c r="AC219" s="560"/>
      <c r="AD219" s="63"/>
      <c r="AE219" s="63"/>
      <c r="AF219" s="63"/>
    </row>
    <row r="220" spans="16:29" ht="18.75" customHeight="1">
      <c r="P220" s="911" t="s">
        <v>156</v>
      </c>
      <c r="Q220" s="912"/>
      <c r="R220" s="912"/>
      <c r="S220" s="560"/>
      <c r="T220" s="560"/>
      <c r="U220" s="560"/>
      <c r="V220" s="560"/>
      <c r="W220" s="560"/>
      <c r="X220" s="560"/>
      <c r="Y220" s="799"/>
      <c r="Z220" s="799"/>
      <c r="AA220" s="799"/>
      <c r="AB220" s="1085"/>
      <c r="AC220" s="1085"/>
    </row>
    <row r="221" spans="16:24" ht="18.75" customHeight="1">
      <c r="P221" s="911" t="s">
        <v>205</v>
      </c>
      <c r="Q221" s="1086"/>
      <c r="R221" s="1086"/>
      <c r="S221" s="1086"/>
      <c r="T221" s="1086"/>
      <c r="U221" s="1086"/>
      <c r="V221" s="1086"/>
      <c r="W221" s="1086"/>
      <c r="X221" s="1086"/>
    </row>
    <row r="222" spans="16:24" ht="15">
      <c r="P222" s="1086"/>
      <c r="Q222" s="1086"/>
      <c r="R222" s="1086"/>
      <c r="S222" s="1086"/>
      <c r="T222" s="1086"/>
      <c r="U222" s="1086"/>
      <c r="V222" s="1086"/>
      <c r="W222" s="1086"/>
      <c r="X222" s="1086"/>
    </row>
    <row r="223" spans="17:24" ht="15">
      <c r="Q223" s="1086"/>
      <c r="R223" s="1086"/>
      <c r="S223" s="1086"/>
      <c r="T223" s="1086"/>
      <c r="U223" s="1086"/>
      <c r="V223" s="1086"/>
      <c r="W223" s="1086"/>
      <c r="X223" s="1086"/>
    </row>
    <row r="224" spans="17:24" ht="18.75" customHeight="1">
      <c r="Q224" s="1086"/>
      <c r="R224" s="1086"/>
      <c r="S224" s="1086"/>
      <c r="T224" s="1086"/>
      <c r="U224" s="1086"/>
      <c r="V224" s="1086"/>
      <c r="W224" s="1086"/>
      <c r="X224" s="1086"/>
    </row>
    <row r="225" ht="18.75" customHeight="1"/>
    <row r="226" ht="18.75" customHeight="1"/>
    <row r="237" ht="15">
      <c r="Y237" s="1086"/>
    </row>
    <row r="238" ht="15">
      <c r="Y238" s="1086"/>
    </row>
  </sheetData>
  <sheetProtection/>
  <mergeCells count="36">
    <mergeCell ref="AA149:AB149"/>
    <mergeCell ref="AA186:AB186"/>
    <mergeCell ref="AA2:AB2"/>
    <mergeCell ref="AA38:AB38"/>
    <mergeCell ref="AA75:AB75"/>
    <mergeCell ref="AA112:AB112"/>
    <mergeCell ref="R2:T2"/>
    <mergeCell ref="R38:T38"/>
    <mergeCell ref="R75:T75"/>
    <mergeCell ref="R112:T112"/>
    <mergeCell ref="R18:R19"/>
    <mergeCell ref="R23:R24"/>
    <mergeCell ref="R28:R29"/>
    <mergeCell ref="R33:R34"/>
    <mergeCell ref="Q169:Q171"/>
    <mergeCell ref="R169:R170"/>
    <mergeCell ref="R216:R217"/>
    <mergeCell ref="Q154:Q155"/>
    <mergeCell ref="Q160:Q161"/>
    <mergeCell ref="Q188:Q189"/>
    <mergeCell ref="R186:T186"/>
    <mergeCell ref="Q124:Q125"/>
    <mergeCell ref="Q129:Q130"/>
    <mergeCell ref="Q151:Q152"/>
    <mergeCell ref="R124:R126"/>
    <mergeCell ref="R149:T149"/>
    <mergeCell ref="R129:R131"/>
    <mergeCell ref="R114:R116"/>
    <mergeCell ref="R119:R121"/>
    <mergeCell ref="Q4:Q5"/>
    <mergeCell ref="Q43:Q44"/>
    <mergeCell ref="Q114:Q115"/>
    <mergeCell ref="Q77:Q79"/>
    <mergeCell ref="Q40:Q41"/>
    <mergeCell ref="Q46:Q60"/>
    <mergeCell ref="Q119:Q120"/>
  </mergeCells>
  <printOptions/>
  <pageMargins left="0.57" right="0.58" top="1.18" bottom="0.35433070866141736" header="0.4330708661417323" footer="0.2362204724409449"/>
  <pageSetup orientation="landscape" paperSize="9" scale="69"/>
  <rowBreaks count="5" manualBreakCount="5">
    <brk id="37" min="15" max="28" man="1"/>
    <brk id="74" min="15" max="28" man="1"/>
    <brk id="111" min="15" max="28" man="1"/>
    <brk id="148" min="15" max="28" man="1"/>
    <brk id="185" min="15" max="28" man="1"/>
  </rowBreaks>
  <drawing r:id="rId1"/>
</worksheet>
</file>

<file path=xl/worksheets/sheet4.xml><?xml version="1.0" encoding="utf-8"?>
<worksheet xmlns="http://schemas.openxmlformats.org/spreadsheetml/2006/main" xmlns:r="http://schemas.openxmlformats.org/officeDocument/2006/relationships">
  <sheetPr codeName="Sheet4"/>
  <dimension ref="A1:BY91"/>
  <sheetViews>
    <sheetView showZeros="0" zoomScale="125" zoomScaleNormal="125" workbookViewId="0" topLeftCell="A1">
      <selection activeCell="A3" sqref="A3:IV3"/>
    </sheetView>
  </sheetViews>
  <sheetFormatPr defaultColWidth="10.59765625" defaultRowHeight="15"/>
  <cols>
    <col min="1" max="1" width="10.59765625" style="53" customWidth="1"/>
    <col min="2" max="2" width="8.59765625" style="53" customWidth="1"/>
    <col min="3" max="3" width="3.59765625" style="53" customWidth="1"/>
    <col min="4" max="4" width="10.59765625" style="53" customWidth="1"/>
    <col min="5" max="5" width="4.59765625" style="53" customWidth="1"/>
    <col min="6" max="6" width="12.59765625" style="53" customWidth="1"/>
    <col min="7" max="7" width="4.59765625" style="53" customWidth="1"/>
    <col min="8" max="8" width="6.59765625" style="53" customWidth="1"/>
    <col min="9" max="9" width="14.59765625" style="53" customWidth="1"/>
    <col min="10" max="10" width="4.59765625" style="53" customWidth="1"/>
    <col min="11" max="11" width="6.59765625" style="53" customWidth="1"/>
    <col min="12" max="12" width="12.59765625" style="53" customWidth="1"/>
    <col min="13" max="63" width="10.59765625" style="53" customWidth="1"/>
    <col min="64" max="64" width="18.59765625" style="53" customWidth="1"/>
    <col min="65" max="73" width="10.59765625" style="53" customWidth="1"/>
    <col min="74" max="74" width="11.19921875" style="53" customWidth="1"/>
    <col min="75" max="16384" width="10.59765625" style="53" customWidth="1"/>
  </cols>
  <sheetData>
    <row r="1" spans="1:77" s="305" customFormat="1" ht="19.5" customHeight="1">
      <c r="A1" s="297" t="s">
        <v>99</v>
      </c>
      <c r="B1" s="297"/>
      <c r="C1" s="297"/>
      <c r="D1" s="298"/>
      <c r="E1" s="299"/>
      <c r="F1" s="299"/>
      <c r="G1" s="299"/>
      <c r="H1" s="299"/>
      <c r="I1" s="300"/>
      <c r="J1" s="300"/>
      <c r="K1" s="301"/>
      <c r="L1" s="301"/>
      <c r="M1" s="301"/>
      <c r="N1" s="301"/>
      <c r="O1" s="301"/>
      <c r="P1" s="301"/>
      <c r="Q1" s="301"/>
      <c r="R1" s="301"/>
      <c r="S1" s="301"/>
      <c r="T1" s="301"/>
      <c r="U1" s="301"/>
      <c r="V1" s="301"/>
      <c r="W1" s="301"/>
      <c r="X1" s="301"/>
      <c r="Y1" s="301"/>
      <c r="Z1" s="301"/>
      <c r="AA1" s="301"/>
      <c r="AB1" s="300"/>
      <c r="AC1" s="300"/>
      <c r="AD1" s="301"/>
      <c r="AE1" s="300"/>
      <c r="AF1" s="300"/>
      <c r="AG1" s="300"/>
      <c r="AH1" s="300"/>
      <c r="AI1" s="300"/>
      <c r="AJ1" s="300"/>
      <c r="AK1" s="300"/>
      <c r="AL1" s="301"/>
      <c r="AM1" s="301"/>
      <c r="AN1" s="301"/>
      <c r="AO1" s="301"/>
      <c r="AP1" s="301"/>
      <c r="AQ1" s="302"/>
      <c r="AR1" s="301"/>
      <c r="AS1" s="301"/>
      <c r="AT1" s="301"/>
      <c r="AU1" s="301"/>
      <c r="AV1" s="301"/>
      <c r="AW1" s="301"/>
      <c r="AX1" s="301"/>
      <c r="AY1" s="301"/>
      <c r="AZ1" s="301"/>
      <c r="BA1" s="301"/>
      <c r="BB1" s="301"/>
      <c r="BC1" s="301"/>
      <c r="BD1" s="300"/>
      <c r="BE1" s="300"/>
      <c r="BF1" s="300"/>
      <c r="BG1" s="302"/>
      <c r="BH1" s="302"/>
      <c r="BI1" s="301"/>
      <c r="BJ1" s="301"/>
      <c r="BK1" s="301"/>
      <c r="BL1" s="303" t="s">
        <v>997</v>
      </c>
      <c r="BM1" s="301"/>
      <c r="BN1" s="301"/>
      <c r="BO1" s="301"/>
      <c r="BP1" s="301"/>
      <c r="BQ1" s="301"/>
      <c r="BR1" s="301"/>
      <c r="BS1" s="301"/>
      <c r="BT1" s="301"/>
      <c r="BU1" s="301"/>
      <c r="BV1" s="301"/>
      <c r="BW1" s="301"/>
      <c r="BX1" s="301"/>
      <c r="BY1" s="304"/>
    </row>
    <row r="2" spans="1:77" s="317" customFormat="1" ht="19.5" customHeight="1">
      <c r="A2" s="306" t="s">
        <v>593</v>
      </c>
      <c r="B2" s="307" t="s">
        <v>750</v>
      </c>
      <c r="C2" s="307" t="s">
        <v>950</v>
      </c>
      <c r="D2" s="307" t="s">
        <v>491</v>
      </c>
      <c r="E2" s="307" t="s">
        <v>1054</v>
      </c>
      <c r="F2" s="308" t="s">
        <v>208</v>
      </c>
      <c r="G2" s="307" t="s">
        <v>559</v>
      </c>
      <c r="H2" s="307" t="s">
        <v>606</v>
      </c>
      <c r="I2" s="307" t="s">
        <v>665</v>
      </c>
      <c r="J2" s="307" t="s">
        <v>1216</v>
      </c>
      <c r="K2" s="307" t="s">
        <v>586</v>
      </c>
      <c r="L2" s="307" t="s">
        <v>399</v>
      </c>
      <c r="M2" s="307" t="s">
        <v>911</v>
      </c>
      <c r="N2" s="307" t="s">
        <v>778</v>
      </c>
      <c r="O2" s="307" t="s">
        <v>500</v>
      </c>
      <c r="P2" s="307" t="s">
        <v>919</v>
      </c>
      <c r="Q2" s="307" t="s">
        <v>1335</v>
      </c>
      <c r="R2" s="307" t="s">
        <v>1336</v>
      </c>
      <c r="S2" s="307" t="s">
        <v>1174</v>
      </c>
      <c r="T2" s="307" t="s">
        <v>1175</v>
      </c>
      <c r="U2" s="307" t="s">
        <v>1176</v>
      </c>
      <c r="V2" s="307" t="s">
        <v>1177</v>
      </c>
      <c r="W2" s="307" t="s">
        <v>1098</v>
      </c>
      <c r="X2" s="307" t="s">
        <v>1099</v>
      </c>
      <c r="Y2" s="307" t="s">
        <v>209</v>
      </c>
      <c r="Z2" s="309" t="s">
        <v>227</v>
      </c>
      <c r="AA2" s="307" t="s">
        <v>1104</v>
      </c>
      <c r="AB2" s="307" t="s">
        <v>342</v>
      </c>
      <c r="AC2" s="307" t="s">
        <v>853</v>
      </c>
      <c r="AD2" s="307" t="s">
        <v>854</v>
      </c>
      <c r="AE2" s="307" t="s">
        <v>228</v>
      </c>
      <c r="AF2" s="307" t="s">
        <v>100</v>
      </c>
      <c r="AG2" s="307" t="s">
        <v>1312</v>
      </c>
      <c r="AH2" s="307" t="s">
        <v>520</v>
      </c>
      <c r="AI2" s="307" t="s">
        <v>521</v>
      </c>
      <c r="AJ2" s="307" t="s">
        <v>738</v>
      </c>
      <c r="AK2" s="307" t="s">
        <v>850</v>
      </c>
      <c r="AL2" s="307" t="s">
        <v>851</v>
      </c>
      <c r="AM2" s="307" t="s">
        <v>852</v>
      </c>
      <c r="AN2" s="307" t="s">
        <v>549</v>
      </c>
      <c r="AO2" s="307" t="s">
        <v>550</v>
      </c>
      <c r="AP2" s="307" t="s">
        <v>934</v>
      </c>
      <c r="AQ2" s="306" t="s">
        <v>232</v>
      </c>
      <c r="AR2" s="307" t="s">
        <v>986</v>
      </c>
      <c r="AS2" s="307" t="s">
        <v>618</v>
      </c>
      <c r="AT2" s="307" t="s">
        <v>619</v>
      </c>
      <c r="AU2" s="307" t="s">
        <v>234</v>
      </c>
      <c r="AV2" s="307" t="s">
        <v>835</v>
      </c>
      <c r="AW2" s="307" t="s">
        <v>369</v>
      </c>
      <c r="AX2" s="307" t="s">
        <v>1134</v>
      </c>
      <c r="AY2" s="307" t="s">
        <v>1135</v>
      </c>
      <c r="AZ2" s="307" t="s">
        <v>1179</v>
      </c>
      <c r="BA2" s="307" t="s">
        <v>1062</v>
      </c>
      <c r="BB2" s="307" t="s">
        <v>1023</v>
      </c>
      <c r="BC2" s="307" t="s">
        <v>1024</v>
      </c>
      <c r="BD2" s="306" t="s">
        <v>1025</v>
      </c>
      <c r="BE2" s="306" t="s">
        <v>1034</v>
      </c>
      <c r="BF2" s="306" t="s">
        <v>294</v>
      </c>
      <c r="BG2" s="306" t="s">
        <v>237</v>
      </c>
      <c r="BH2" s="306" t="s">
        <v>1072</v>
      </c>
      <c r="BI2" s="310"/>
      <c r="BJ2" s="310"/>
      <c r="BK2" s="311" t="s">
        <v>593</v>
      </c>
      <c r="BL2" s="311" t="s">
        <v>750</v>
      </c>
      <c r="BM2" s="311" t="s">
        <v>950</v>
      </c>
      <c r="BN2" s="311" t="s">
        <v>491</v>
      </c>
      <c r="BO2" s="311" t="s">
        <v>644</v>
      </c>
      <c r="BP2" s="311" t="s">
        <v>399</v>
      </c>
      <c r="BQ2" s="311" t="s">
        <v>559</v>
      </c>
      <c r="BR2" s="312" t="s">
        <v>606</v>
      </c>
      <c r="BS2" s="313" t="s">
        <v>665</v>
      </c>
      <c r="BT2" s="311" t="s">
        <v>586</v>
      </c>
      <c r="BU2" s="314" t="s">
        <v>239</v>
      </c>
      <c r="BV2" s="315" t="s">
        <v>602</v>
      </c>
      <c r="BW2" s="315" t="s">
        <v>603</v>
      </c>
      <c r="BX2" s="315" t="s">
        <v>604</v>
      </c>
      <c r="BY2" s="316" t="s">
        <v>240</v>
      </c>
    </row>
    <row r="3" spans="1:77" s="340" customFormat="1" ht="19.5" customHeight="1">
      <c r="A3" s="315">
        <v>11</v>
      </c>
      <c r="B3" s="315" t="s">
        <v>1113</v>
      </c>
      <c r="C3" s="337">
        <v>4</v>
      </c>
      <c r="D3" s="341" t="s">
        <v>1209</v>
      </c>
      <c r="E3" s="337" t="s">
        <v>1091</v>
      </c>
      <c r="F3" s="337">
        <v>1</v>
      </c>
      <c r="G3" s="1123">
        <v>280</v>
      </c>
      <c r="H3" s="342">
        <v>36219</v>
      </c>
      <c r="I3" s="1124">
        <v>110000</v>
      </c>
      <c r="J3" s="337">
        <v>0</v>
      </c>
      <c r="K3" s="337">
        <v>100</v>
      </c>
      <c r="L3" s="337" t="s">
        <v>212</v>
      </c>
      <c r="M3" s="337">
        <v>31</v>
      </c>
      <c r="N3" s="337">
        <v>2</v>
      </c>
      <c r="O3" s="337">
        <v>4</v>
      </c>
      <c r="P3" s="1125">
        <v>3.5</v>
      </c>
      <c r="Q3" s="1125">
        <v>0</v>
      </c>
      <c r="R3" s="319">
        <v>0</v>
      </c>
      <c r="S3" s="319">
        <v>1</v>
      </c>
      <c r="T3" s="337">
        <v>1</v>
      </c>
      <c r="U3" s="327">
        <v>2</v>
      </c>
      <c r="V3" s="337"/>
      <c r="W3" s="327">
        <v>0</v>
      </c>
      <c r="X3" s="319">
        <v>1</v>
      </c>
      <c r="Y3" s="1128" t="s">
        <v>574</v>
      </c>
      <c r="Z3" s="329">
        <v>1</v>
      </c>
      <c r="AA3" s="330">
        <v>10.35</v>
      </c>
      <c r="AB3" s="1125">
        <v>13.8</v>
      </c>
      <c r="AC3" s="1125">
        <v>12.5</v>
      </c>
      <c r="AD3" s="319">
        <v>1</v>
      </c>
      <c r="AE3" s="331">
        <v>1</v>
      </c>
      <c r="AF3" s="332" t="s">
        <v>1212</v>
      </c>
      <c r="AG3" s="1126">
        <v>5500</v>
      </c>
      <c r="AH3" s="341" t="s">
        <v>1094</v>
      </c>
      <c r="AI3" s="1126">
        <v>1000</v>
      </c>
      <c r="AJ3" s="341" t="s">
        <v>1093</v>
      </c>
      <c r="AK3" s="1126">
        <v>200</v>
      </c>
      <c r="AL3" s="334" t="s">
        <v>991</v>
      </c>
      <c r="AM3" s="333">
        <v>0</v>
      </c>
      <c r="AN3" s="318">
        <v>0</v>
      </c>
      <c r="AO3" s="318">
        <v>0</v>
      </c>
      <c r="AP3" s="332" t="s">
        <v>1214</v>
      </c>
      <c r="AQ3" s="335">
        <v>4</v>
      </c>
      <c r="AR3" s="337">
        <v>1</v>
      </c>
      <c r="AS3" s="337">
        <v>1</v>
      </c>
      <c r="AT3" s="337">
        <v>1</v>
      </c>
      <c r="AU3" s="337">
        <v>1</v>
      </c>
      <c r="AV3" s="337">
        <v>14</v>
      </c>
      <c r="AW3" s="337">
        <v>200</v>
      </c>
      <c r="AX3" s="337">
        <v>60</v>
      </c>
      <c r="AY3" s="337">
        <v>2</v>
      </c>
      <c r="AZ3" s="336">
        <v>1</v>
      </c>
      <c r="BA3" s="336">
        <v>1</v>
      </c>
      <c r="BB3" s="1119" t="s">
        <v>1085</v>
      </c>
      <c r="BC3" s="338">
        <v>0</v>
      </c>
      <c r="BD3" s="337">
        <v>4</v>
      </c>
      <c r="BE3" s="337">
        <v>5</v>
      </c>
      <c r="BF3" s="337">
        <v>5</v>
      </c>
      <c r="BG3" s="339" t="s">
        <v>669</v>
      </c>
      <c r="BH3" s="1127" t="s">
        <v>1210</v>
      </c>
      <c r="BK3" s="337"/>
      <c r="BL3" s="337"/>
      <c r="BM3" s="337"/>
      <c r="BN3" s="341"/>
      <c r="BO3" s="337"/>
      <c r="BP3" s="337"/>
      <c r="BQ3" s="341"/>
      <c r="BR3" s="342"/>
      <c r="BS3" s="343"/>
      <c r="BT3" s="337"/>
      <c r="BU3" s="337"/>
      <c r="BV3" s="337"/>
      <c r="BW3" s="341"/>
      <c r="BX3" s="341"/>
      <c r="BY3" s="343"/>
    </row>
    <row r="4" spans="1:60" s="20" customFormat="1" ht="19.5" customHeight="1">
      <c r="A4" s="302"/>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c r="BF4" s="302"/>
      <c r="BG4" s="302"/>
      <c r="BH4" s="302"/>
    </row>
    <row r="5" spans="1:60" s="347" customFormat="1" ht="19.5" customHeight="1">
      <c r="A5" s="344" t="s">
        <v>4</v>
      </c>
      <c r="B5" s="345"/>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V5" s="346"/>
      <c r="AW5" s="346"/>
      <c r="AX5" s="346"/>
      <c r="AY5" s="346"/>
      <c r="AZ5" s="346"/>
      <c r="BA5" s="346"/>
      <c r="BB5" s="346"/>
      <c r="BC5" s="346"/>
      <c r="BD5" s="346"/>
      <c r="BE5" s="346"/>
      <c r="BF5" s="346"/>
      <c r="BG5" s="346"/>
      <c r="BH5" s="346"/>
    </row>
    <row r="6" spans="1:77" s="359" customFormat="1" ht="19.5" customHeight="1">
      <c r="A6" s="348" t="s">
        <v>593</v>
      </c>
      <c r="B6" s="349" t="s">
        <v>750</v>
      </c>
      <c r="C6" s="349" t="s">
        <v>950</v>
      </c>
      <c r="D6" s="349" t="s">
        <v>491</v>
      </c>
      <c r="E6" s="349" t="s">
        <v>1054</v>
      </c>
      <c r="F6" s="350" t="s">
        <v>208</v>
      </c>
      <c r="G6" s="349" t="s">
        <v>559</v>
      </c>
      <c r="H6" s="349" t="s">
        <v>606</v>
      </c>
      <c r="I6" s="349" t="s">
        <v>665</v>
      </c>
      <c r="J6" s="349" t="s">
        <v>1216</v>
      </c>
      <c r="K6" s="349" t="s">
        <v>586</v>
      </c>
      <c r="L6" s="349" t="s">
        <v>399</v>
      </c>
      <c r="M6" s="349" t="s">
        <v>911</v>
      </c>
      <c r="N6" s="349" t="s">
        <v>778</v>
      </c>
      <c r="O6" s="349" t="s">
        <v>500</v>
      </c>
      <c r="P6" s="349" t="s">
        <v>919</v>
      </c>
      <c r="Q6" s="349" t="s">
        <v>1335</v>
      </c>
      <c r="R6" s="349" t="s">
        <v>1336</v>
      </c>
      <c r="S6" s="349" t="s">
        <v>1174</v>
      </c>
      <c r="T6" s="349" t="s">
        <v>1175</v>
      </c>
      <c r="U6" s="349" t="s">
        <v>1176</v>
      </c>
      <c r="V6" s="349" t="s">
        <v>1177</v>
      </c>
      <c r="W6" s="349" t="s">
        <v>1098</v>
      </c>
      <c r="X6" s="349" t="s">
        <v>1099</v>
      </c>
      <c r="Y6" s="349" t="s">
        <v>209</v>
      </c>
      <c r="Z6" s="351" t="s">
        <v>227</v>
      </c>
      <c r="AA6" s="349" t="s">
        <v>1104</v>
      </c>
      <c r="AB6" s="349" t="s">
        <v>342</v>
      </c>
      <c r="AC6" s="349" t="s">
        <v>853</v>
      </c>
      <c r="AD6" s="349" t="s">
        <v>854</v>
      </c>
      <c r="AE6" s="349" t="s">
        <v>228</v>
      </c>
      <c r="AF6" s="349" t="s">
        <v>100</v>
      </c>
      <c r="AG6" s="349" t="s">
        <v>1312</v>
      </c>
      <c r="AH6" s="349" t="s">
        <v>520</v>
      </c>
      <c r="AI6" s="349" t="s">
        <v>521</v>
      </c>
      <c r="AJ6" s="349" t="s">
        <v>738</v>
      </c>
      <c r="AK6" s="349" t="s">
        <v>850</v>
      </c>
      <c r="AL6" s="349" t="s">
        <v>851</v>
      </c>
      <c r="AM6" s="349" t="s">
        <v>852</v>
      </c>
      <c r="AN6" s="349" t="s">
        <v>549</v>
      </c>
      <c r="AO6" s="349" t="s">
        <v>550</v>
      </c>
      <c r="AP6" s="349" t="s">
        <v>934</v>
      </c>
      <c r="AQ6" s="348" t="s">
        <v>232</v>
      </c>
      <c r="AR6" s="349" t="s">
        <v>986</v>
      </c>
      <c r="AS6" s="349" t="s">
        <v>618</v>
      </c>
      <c r="AT6" s="349" t="s">
        <v>619</v>
      </c>
      <c r="AU6" s="349" t="s">
        <v>234</v>
      </c>
      <c r="AV6" s="349" t="s">
        <v>835</v>
      </c>
      <c r="AW6" s="349" t="s">
        <v>369</v>
      </c>
      <c r="AX6" s="349" t="s">
        <v>1134</v>
      </c>
      <c r="AY6" s="349" t="s">
        <v>1135</v>
      </c>
      <c r="AZ6" s="349" t="s">
        <v>1179</v>
      </c>
      <c r="BA6" s="349" t="s">
        <v>1062</v>
      </c>
      <c r="BB6" s="349" t="s">
        <v>1023</v>
      </c>
      <c r="BC6" s="349" t="s">
        <v>1024</v>
      </c>
      <c r="BD6" s="348" t="s">
        <v>1025</v>
      </c>
      <c r="BE6" s="348" t="s">
        <v>1034</v>
      </c>
      <c r="BF6" s="348" t="s">
        <v>294</v>
      </c>
      <c r="BG6" s="348" t="s">
        <v>237</v>
      </c>
      <c r="BH6" s="348" t="s">
        <v>1072</v>
      </c>
      <c r="BI6" s="352"/>
      <c r="BJ6" s="352"/>
      <c r="BK6" s="353" t="s">
        <v>593</v>
      </c>
      <c r="BL6" s="353" t="s">
        <v>750</v>
      </c>
      <c r="BM6" s="353" t="s">
        <v>950</v>
      </c>
      <c r="BN6" s="353" t="s">
        <v>491</v>
      </c>
      <c r="BO6" s="353" t="s">
        <v>644</v>
      </c>
      <c r="BP6" s="353" t="s">
        <v>399</v>
      </c>
      <c r="BQ6" s="353" t="s">
        <v>559</v>
      </c>
      <c r="BR6" s="354" t="s">
        <v>606</v>
      </c>
      <c r="BS6" s="355" t="s">
        <v>665</v>
      </c>
      <c r="BT6" s="353" t="s">
        <v>586</v>
      </c>
      <c r="BU6" s="356" t="s">
        <v>239</v>
      </c>
      <c r="BV6" s="357" t="s">
        <v>602</v>
      </c>
      <c r="BW6" s="357" t="s">
        <v>603</v>
      </c>
      <c r="BX6" s="357" t="s">
        <v>604</v>
      </c>
      <c r="BY6" s="358" t="s">
        <v>240</v>
      </c>
    </row>
    <row r="7" spans="1:77" s="340" customFormat="1" ht="19.5" customHeight="1">
      <c r="A7" s="315">
        <v>1</v>
      </c>
      <c r="B7" s="318" t="s">
        <v>295</v>
      </c>
      <c r="C7" s="319">
        <v>1</v>
      </c>
      <c r="D7" s="320" t="s">
        <v>16</v>
      </c>
      <c r="E7" s="319" t="s">
        <v>1091</v>
      </c>
      <c r="F7" s="319">
        <v>1</v>
      </c>
      <c r="G7" s="321">
        <v>255.69</v>
      </c>
      <c r="H7" s="322"/>
      <c r="I7" s="323"/>
      <c r="J7" s="324"/>
      <c r="K7" s="325"/>
      <c r="L7" s="319" t="s">
        <v>1211</v>
      </c>
      <c r="M7" s="319">
        <v>31</v>
      </c>
      <c r="N7" s="319">
        <v>4</v>
      </c>
      <c r="O7" s="319">
        <v>2</v>
      </c>
      <c r="P7" s="326">
        <v>5.5</v>
      </c>
      <c r="Q7" s="326">
        <v>0</v>
      </c>
      <c r="R7" s="319">
        <v>0</v>
      </c>
      <c r="S7" s="319">
        <v>1</v>
      </c>
      <c r="T7" s="319"/>
      <c r="U7" s="327">
        <v>0</v>
      </c>
      <c r="V7" s="319"/>
      <c r="W7" s="327">
        <v>0</v>
      </c>
      <c r="X7" s="319">
        <v>6</v>
      </c>
      <c r="Y7" s="328" t="s">
        <v>574</v>
      </c>
      <c r="Z7" s="329">
        <v>1</v>
      </c>
      <c r="AA7" s="330">
        <v>0</v>
      </c>
      <c r="AB7" s="326">
        <v>9.8</v>
      </c>
      <c r="AC7" s="326">
        <v>22.8</v>
      </c>
      <c r="AD7" s="319">
        <v>2</v>
      </c>
      <c r="AE7" s="331">
        <v>1</v>
      </c>
      <c r="AF7" s="332" t="s">
        <v>1212</v>
      </c>
      <c r="AG7" s="333">
        <v>5300</v>
      </c>
      <c r="AH7" s="334" t="s">
        <v>1092</v>
      </c>
      <c r="AI7" s="333">
        <v>1300</v>
      </c>
      <c r="AJ7" s="334" t="s">
        <v>1093</v>
      </c>
      <c r="AK7" s="333">
        <v>700</v>
      </c>
      <c r="AL7" s="334" t="s">
        <v>991</v>
      </c>
      <c r="AM7" s="333">
        <v>0</v>
      </c>
      <c r="AN7" s="318">
        <v>0</v>
      </c>
      <c r="AO7" s="318">
        <v>0</v>
      </c>
      <c r="AP7" s="320" t="s">
        <v>1213</v>
      </c>
      <c r="AQ7" s="335">
        <v>4</v>
      </c>
      <c r="AR7" s="319">
        <v>1</v>
      </c>
      <c r="AS7" s="319">
        <v>1</v>
      </c>
      <c r="AT7" s="319">
        <v>1</v>
      </c>
      <c r="AU7" s="319">
        <v>1</v>
      </c>
      <c r="AV7" s="319">
        <v>16</v>
      </c>
      <c r="AW7" s="319">
        <v>200</v>
      </c>
      <c r="AX7" s="319">
        <v>60</v>
      </c>
      <c r="AY7" s="319">
        <v>2</v>
      </c>
      <c r="AZ7" s="336">
        <v>1</v>
      </c>
      <c r="BA7" s="336">
        <v>1</v>
      </c>
      <c r="BB7" s="337" t="s">
        <v>1085</v>
      </c>
      <c r="BC7" s="338">
        <v>0</v>
      </c>
      <c r="BD7" s="337">
        <v>4</v>
      </c>
      <c r="BE7" s="337">
        <v>4</v>
      </c>
      <c r="BF7" s="337">
        <v>4</v>
      </c>
      <c r="BG7" s="339" t="s">
        <v>669</v>
      </c>
      <c r="BH7" s="339"/>
      <c r="BK7" s="337"/>
      <c r="BL7" s="337"/>
      <c r="BM7" s="337"/>
      <c r="BN7" s="341"/>
      <c r="BO7" s="337"/>
      <c r="BP7" s="337"/>
      <c r="BQ7" s="341"/>
      <c r="BR7" s="342"/>
      <c r="BS7" s="343"/>
      <c r="BT7" s="337"/>
      <c r="BU7" s="337"/>
      <c r="BV7" s="337"/>
      <c r="BW7" s="341"/>
      <c r="BX7" s="341"/>
      <c r="BY7" s="343"/>
    </row>
    <row r="8" spans="1:60" s="362" customFormat="1" ht="19.5" customHeight="1">
      <c r="A8" s="360" t="s">
        <v>5</v>
      </c>
      <c r="B8" s="361"/>
      <c r="C8" s="361"/>
      <c r="D8" s="361"/>
      <c r="E8" s="361"/>
      <c r="F8" s="361"/>
      <c r="G8" s="361"/>
      <c r="H8" s="361"/>
      <c r="I8" s="361"/>
      <c r="J8" s="361"/>
      <c r="K8" s="361"/>
      <c r="L8" s="361"/>
      <c r="M8" s="361"/>
      <c r="N8" s="361"/>
      <c r="O8" s="361"/>
      <c r="P8" s="361"/>
      <c r="Q8" s="361"/>
      <c r="R8" s="361"/>
      <c r="S8" s="361"/>
      <c r="T8" s="361"/>
      <c r="U8" s="361"/>
      <c r="V8" s="361"/>
      <c r="W8" s="361"/>
      <c r="X8" s="361"/>
      <c r="Y8" s="361"/>
      <c r="Z8" s="361"/>
      <c r="AA8" s="361"/>
      <c r="AB8" s="361"/>
      <c r="AC8" s="361"/>
      <c r="AD8" s="361"/>
      <c r="AE8" s="361"/>
      <c r="AF8" s="361"/>
      <c r="AG8" s="361"/>
      <c r="AH8" s="361"/>
      <c r="AI8" s="361"/>
      <c r="AJ8" s="361"/>
      <c r="AK8" s="361"/>
      <c r="AL8" s="361"/>
      <c r="AM8" s="361"/>
      <c r="AN8" s="361"/>
      <c r="AO8" s="361"/>
      <c r="AP8" s="361"/>
      <c r="AQ8" s="361"/>
      <c r="AR8" s="361"/>
      <c r="AS8" s="361"/>
      <c r="AT8" s="361"/>
      <c r="AU8" s="361"/>
      <c r="AV8" s="361"/>
      <c r="AW8" s="361"/>
      <c r="AX8" s="361"/>
      <c r="AY8" s="361"/>
      <c r="AZ8" s="361"/>
      <c r="BA8" s="361"/>
      <c r="BB8" s="361"/>
      <c r="BC8" s="361"/>
      <c r="BD8" s="361"/>
      <c r="BE8" s="361"/>
      <c r="BF8" s="361"/>
      <c r="BG8" s="361"/>
      <c r="BH8" s="361"/>
    </row>
    <row r="9" spans="1:59" s="362" customFormat="1" ht="19.5" customHeight="1">
      <c r="A9" s="363" t="s">
        <v>593</v>
      </c>
      <c r="B9" s="363" t="s">
        <v>750</v>
      </c>
      <c r="C9" s="363" t="s">
        <v>950</v>
      </c>
      <c r="D9" s="363" t="s">
        <v>491</v>
      </c>
      <c r="E9" s="363" t="s">
        <v>644</v>
      </c>
      <c r="F9" s="363" t="s">
        <v>399</v>
      </c>
      <c r="G9" s="363" t="s">
        <v>559</v>
      </c>
      <c r="H9" s="363" t="s">
        <v>606</v>
      </c>
      <c r="I9" s="363" t="s">
        <v>665</v>
      </c>
      <c r="J9" s="363" t="s">
        <v>586</v>
      </c>
      <c r="K9" s="364" t="s">
        <v>239</v>
      </c>
      <c r="L9" s="365" t="s">
        <v>602</v>
      </c>
      <c r="M9" s="365" t="s">
        <v>603</v>
      </c>
      <c r="N9" s="365" t="s">
        <v>604</v>
      </c>
      <c r="O9" s="365" t="s">
        <v>240</v>
      </c>
      <c r="P9" s="361"/>
      <c r="Q9" s="361"/>
      <c r="R9" s="361"/>
      <c r="S9" s="361"/>
      <c r="T9" s="361"/>
      <c r="U9" s="361"/>
      <c r="V9" s="361"/>
      <c r="W9" s="361"/>
      <c r="X9" s="361"/>
      <c r="Y9" s="361"/>
      <c r="Z9" s="361"/>
      <c r="AA9" s="361"/>
      <c r="AB9" s="361"/>
      <c r="AC9" s="361"/>
      <c r="AD9" s="361"/>
      <c r="AE9" s="361"/>
      <c r="AF9" s="361"/>
      <c r="AG9" s="361"/>
      <c r="AH9" s="361"/>
      <c r="AI9" s="361"/>
      <c r="AJ9" s="361"/>
      <c r="AK9" s="361"/>
      <c r="AL9" s="361"/>
      <c r="AM9" s="361"/>
      <c r="AN9" s="361"/>
      <c r="AO9" s="361"/>
      <c r="AP9" s="361"/>
      <c r="AQ9" s="361"/>
      <c r="AR9" s="361"/>
      <c r="AS9" s="361"/>
      <c r="AT9" s="361"/>
      <c r="AU9" s="361"/>
      <c r="AV9" s="361"/>
      <c r="AW9" s="361"/>
      <c r="AX9" s="361"/>
      <c r="AY9" s="361"/>
      <c r="AZ9" s="361"/>
      <c r="BA9" s="361"/>
      <c r="BB9" s="361"/>
      <c r="BC9" s="361"/>
      <c r="BD9" s="361"/>
      <c r="BE9" s="361"/>
      <c r="BF9" s="361"/>
      <c r="BG9" s="361"/>
    </row>
    <row r="10" spans="1:59" s="362" customFormat="1" ht="19.5" customHeight="1">
      <c r="A10" s="365">
        <f aca="true" t="shared" si="0" ref="A10:I10">A3</f>
        <v>11</v>
      </c>
      <c r="B10" s="365" t="str">
        <f t="shared" si="0"/>
        <v>取引事例</v>
      </c>
      <c r="C10" s="365">
        <f t="shared" si="0"/>
        <v>4</v>
      </c>
      <c r="D10" s="366" t="str">
        <f t="shared" si="0"/>
        <v>長良城西町地内</v>
      </c>
      <c r="E10" s="365" t="str">
        <f t="shared" si="0"/>
        <v>住宅地</v>
      </c>
      <c r="F10" s="365" t="str">
        <f>L3</f>
        <v>宅地</v>
      </c>
      <c r="G10" s="365">
        <f t="shared" si="0"/>
        <v>280</v>
      </c>
      <c r="H10" s="367">
        <f t="shared" si="0"/>
        <v>36219</v>
      </c>
      <c r="I10" s="368">
        <f t="shared" si="0"/>
        <v>110000</v>
      </c>
      <c r="J10" s="365">
        <f>K3</f>
        <v>100</v>
      </c>
      <c r="K10" s="369">
        <f>L24</f>
        <v>0.9915</v>
      </c>
      <c r="L10" s="370">
        <f>H36</f>
        <v>1.02</v>
      </c>
      <c r="M10" s="370">
        <f>K36</f>
        <v>0.998</v>
      </c>
      <c r="N10" s="370">
        <f>L67</f>
        <v>1.115</v>
      </c>
      <c r="O10" s="371">
        <f>IF(I10=0," ",IF(I10=" "," ",ROUND(I10/J10*K10*100*L10/M10/N10,-2)))</f>
        <v>100000</v>
      </c>
      <c r="P10" s="361"/>
      <c r="Q10" s="361"/>
      <c r="R10" s="361"/>
      <c r="S10" s="361"/>
      <c r="T10" s="361"/>
      <c r="U10" s="361"/>
      <c r="V10" s="361"/>
      <c r="W10" s="361"/>
      <c r="X10" s="361"/>
      <c r="Y10" s="361"/>
      <c r="Z10" s="361"/>
      <c r="AA10" s="361"/>
      <c r="AB10" s="361"/>
      <c r="AC10" s="361"/>
      <c r="AD10" s="361"/>
      <c r="AE10" s="361"/>
      <c r="AF10" s="361"/>
      <c r="AG10" s="361"/>
      <c r="AH10" s="361"/>
      <c r="AI10" s="361"/>
      <c r="AJ10" s="361"/>
      <c r="AK10" s="361"/>
      <c r="AL10" s="361"/>
      <c r="AM10" s="361"/>
      <c r="AN10" s="361"/>
      <c r="AO10" s="361"/>
      <c r="AP10" s="361"/>
      <c r="AQ10" s="361"/>
      <c r="AR10" s="361"/>
      <c r="AS10" s="361"/>
      <c r="AT10" s="361"/>
      <c r="AU10" s="361"/>
      <c r="AV10" s="361"/>
      <c r="AW10" s="361"/>
      <c r="AX10" s="361"/>
      <c r="AY10" s="361"/>
      <c r="AZ10" s="361"/>
      <c r="BA10" s="361"/>
      <c r="BB10" s="361"/>
      <c r="BC10" s="361"/>
      <c r="BD10" s="361"/>
      <c r="BE10" s="361"/>
      <c r="BF10" s="361"/>
      <c r="BG10" s="361"/>
    </row>
    <row r="11" spans="1:60" s="98" customFormat="1" ht="19.5" customHeight="1" thickBot="1">
      <c r="A11" s="93"/>
      <c r="B11" s="94"/>
      <c r="C11" s="94"/>
      <c r="D11" s="94"/>
      <c r="E11" s="94"/>
      <c r="F11" s="94"/>
      <c r="G11" s="94"/>
      <c r="H11" s="94"/>
      <c r="I11" s="94"/>
      <c r="J11" s="94"/>
      <c r="K11" s="94"/>
      <c r="L11" s="94"/>
      <c r="M11" s="95"/>
      <c r="N11" s="95"/>
      <c r="O11" s="95"/>
      <c r="P11" s="95"/>
      <c r="Q11" s="95"/>
      <c r="R11" s="95"/>
      <c r="S11" s="95"/>
      <c r="T11" s="95"/>
      <c r="U11" s="95"/>
      <c r="V11" s="95"/>
      <c r="W11" s="95"/>
      <c r="X11" s="95"/>
      <c r="Y11" s="95"/>
      <c r="Z11" s="95"/>
      <c r="AA11" s="95"/>
      <c r="AB11" s="95"/>
      <c r="AC11" s="95"/>
      <c r="AD11" s="95"/>
      <c r="AE11" s="95"/>
      <c r="AF11" s="95"/>
      <c r="AG11" s="95"/>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7"/>
    </row>
    <row r="12" spans="3:48" ht="16.5" customHeight="1" thickBot="1">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row>
    <row r="13" spans="1:32" ht="18" customHeight="1" thickTop="1">
      <c r="A13" s="100" t="s">
        <v>1275</v>
      </c>
      <c r="C13" s="1998" t="s">
        <v>6</v>
      </c>
      <c r="D13" s="101" t="s">
        <v>1333</v>
      </c>
      <c r="E13" s="102" t="str">
        <f>B7&amp;"　 "&amp;C7&amp;"号物件"</f>
        <v>評価対象地　 1号物件</v>
      </c>
      <c r="F13" s="103"/>
      <c r="G13" s="103"/>
      <c r="H13" s="104"/>
      <c r="I13" s="105" t="s">
        <v>7</v>
      </c>
      <c r="J13" s="106" t="str">
        <f>B3&amp;"－"&amp;C3</f>
        <v>取引事例－4</v>
      </c>
      <c r="K13" s="107"/>
      <c r="L13" s="108"/>
      <c r="AE13" s="99"/>
      <c r="AF13" s="99"/>
    </row>
    <row r="14" spans="1:30" ht="18" customHeight="1">
      <c r="A14" s="100"/>
      <c r="C14" s="1999"/>
      <c r="D14" s="109" t="s">
        <v>459</v>
      </c>
      <c r="E14" s="110" t="str">
        <f>D7</f>
        <v>長良山田町９丁目９９</v>
      </c>
      <c r="F14" s="111"/>
      <c r="G14" s="111"/>
      <c r="H14" s="112"/>
      <c r="I14" s="113" t="s">
        <v>459</v>
      </c>
      <c r="J14" s="114" t="str">
        <f>D3</f>
        <v>長良城西町地内</v>
      </c>
      <c r="K14" s="115"/>
      <c r="L14" s="116"/>
      <c r="AC14" s="99"/>
      <c r="AD14" s="99"/>
    </row>
    <row r="15" spans="1:30" ht="18" customHeight="1" thickBot="1">
      <c r="A15" s="100"/>
      <c r="C15" s="2000"/>
      <c r="D15" s="117" t="s">
        <v>1334</v>
      </c>
      <c r="E15" s="2007" t="str">
        <f>E7</f>
        <v>住宅地</v>
      </c>
      <c r="F15" s="2008"/>
      <c r="G15" s="2009" t="str">
        <f>L7&amp;"・"&amp;IF(F7=1,"更地",IF(F7=2,"建付地","素地"))</f>
        <v>宅地・更地</v>
      </c>
      <c r="H15" s="2010"/>
      <c r="I15" s="118" t="s">
        <v>1334</v>
      </c>
      <c r="J15" s="1979" t="str">
        <f>E3</f>
        <v>住宅地</v>
      </c>
      <c r="K15" s="1980"/>
      <c r="L15" s="119" t="str">
        <f>L3&amp;"・"&amp;IF(F3=1,"更地",IF(F3=2,"建付地","素地"))</f>
        <v>宅地・更地</v>
      </c>
      <c r="AC15" s="99"/>
      <c r="AD15" s="99"/>
    </row>
    <row r="16" spans="1:31" ht="16.5" customHeight="1" thickTop="1">
      <c r="A16" s="100"/>
      <c r="C16" s="120" t="s">
        <v>1278</v>
      </c>
      <c r="D16" s="121" t="s">
        <v>621</v>
      </c>
      <c r="E16" s="122" t="s">
        <v>1279</v>
      </c>
      <c r="F16" s="123" t="s">
        <v>8</v>
      </c>
      <c r="G16" s="124" t="s">
        <v>9</v>
      </c>
      <c r="H16" s="125" t="s">
        <v>623</v>
      </c>
      <c r="I16" s="126" t="s">
        <v>10</v>
      </c>
      <c r="J16" s="124" t="s">
        <v>9</v>
      </c>
      <c r="K16" s="127" t="s">
        <v>623</v>
      </c>
      <c r="L16" s="128" t="s">
        <v>927</v>
      </c>
      <c r="AD16" s="99"/>
      <c r="AE16" s="99"/>
    </row>
    <row r="17" spans="1:12" ht="16.5" customHeight="1">
      <c r="A17" s="100" t="s">
        <v>1274</v>
      </c>
      <c r="C17" s="2001" t="s">
        <v>11</v>
      </c>
      <c r="D17" s="129" t="str">
        <f>'比準表入力'!R4</f>
        <v>地積過大</v>
      </c>
      <c r="E17" s="130">
        <f>1004</f>
        <v>1004</v>
      </c>
      <c r="F17" s="2005">
        <f>G7</f>
        <v>255.69</v>
      </c>
      <c r="G17" s="131">
        <f>VLOOKUP(F17,地_積過大,2)</f>
        <v>1</v>
      </c>
      <c r="H17" s="132">
        <f>ROUND(VLOOKUP(E17,比準表,G17+1)/100+1,3)</f>
        <v>1</v>
      </c>
      <c r="I17" s="2003">
        <f>G3</f>
        <v>280</v>
      </c>
      <c r="J17" s="131">
        <f>VLOOKUP(I17,地_積過大,2)</f>
        <v>1</v>
      </c>
      <c r="K17" s="133">
        <f>ROUND(VLOOKUP(E17+1,比準表,J17+1)/100+1,3)</f>
        <v>1</v>
      </c>
      <c r="L17" s="134" t="s">
        <v>12</v>
      </c>
    </row>
    <row r="18" spans="1:12" ht="16.5" customHeight="1">
      <c r="A18" s="100"/>
      <c r="C18" s="2002"/>
      <c r="D18" s="136" t="str">
        <f>'比準表入力'!R9</f>
        <v>地積過小</v>
      </c>
      <c r="E18" s="137">
        <f>1014</f>
        <v>1014</v>
      </c>
      <c r="F18" s="2006"/>
      <c r="G18" s="138">
        <f>VLOOKUP(F17,地_積過小,2)</f>
        <v>1</v>
      </c>
      <c r="H18" s="139">
        <f>ROUND(VLOOKUP(E18,比準表,G18+1)/100+1,3)</f>
        <v>1</v>
      </c>
      <c r="I18" s="2004"/>
      <c r="J18" s="138">
        <f>VLOOKUP(I17,地_積過小,2)</f>
        <v>1</v>
      </c>
      <c r="K18" s="140">
        <f>ROUND(VLOOKUP(E18+1,比準表,J18+1)/100+1,3)</f>
        <v>1</v>
      </c>
      <c r="L18" s="141" t="s">
        <v>13</v>
      </c>
    </row>
    <row r="19" spans="1:28" s="143" customFormat="1" ht="16.5" customHeight="1">
      <c r="A19" s="142"/>
      <c r="C19" s="2002"/>
      <c r="D19" s="136" t="s">
        <v>89</v>
      </c>
      <c r="E19" s="137">
        <v>1023</v>
      </c>
      <c r="F19" s="144" t="str">
        <f>VLOOKUP(O7,街路方位,2)</f>
        <v>南</v>
      </c>
      <c r="G19" s="145">
        <f>O7</f>
        <v>2</v>
      </c>
      <c r="H19" s="139">
        <f>VLOOKUP(E19,比準表,G19+2)/100+1</f>
        <v>1.02</v>
      </c>
      <c r="I19" s="146" t="str">
        <f>VLOOKUP(O3,街路方位,2)</f>
        <v>北</v>
      </c>
      <c r="J19" s="145">
        <f>O3</f>
        <v>4</v>
      </c>
      <c r="K19" s="140">
        <f>VLOOKUP(E19,比準表,J19+2)/100+1</f>
        <v>1</v>
      </c>
      <c r="L19" s="147">
        <f>I3</f>
        <v>110000</v>
      </c>
      <c r="M19" s="53"/>
      <c r="N19" s="53"/>
      <c r="O19" s="53"/>
      <c r="P19" s="53"/>
      <c r="Q19" s="53"/>
      <c r="R19" s="53"/>
      <c r="S19" s="53"/>
      <c r="T19" s="53"/>
      <c r="U19" s="53"/>
      <c r="V19" s="53"/>
      <c r="W19" s="53"/>
      <c r="X19" s="53"/>
      <c r="Y19" s="53"/>
      <c r="Z19" s="53"/>
      <c r="AA19" s="53"/>
      <c r="AB19" s="53"/>
    </row>
    <row r="20" spans="1:28" s="143" customFormat="1" ht="16.5" customHeight="1">
      <c r="A20" s="142"/>
      <c r="C20" s="2002"/>
      <c r="D20" s="136" t="s">
        <v>90</v>
      </c>
      <c r="E20" s="137">
        <v>1244</v>
      </c>
      <c r="F20" s="148" t="str">
        <f>IF(Q7=0,"等高",Q7)</f>
        <v>等高</v>
      </c>
      <c r="G20" s="138">
        <f>VLOOKUP(Q7,高低差,2)</f>
        <v>4</v>
      </c>
      <c r="H20" s="139">
        <f>VLOOKUP(E20,比準表,G20+1)/100+1</f>
        <v>1</v>
      </c>
      <c r="I20" s="149" t="str">
        <f>IF(Q3=0,"等高",Q3)</f>
        <v>等高</v>
      </c>
      <c r="J20" s="138">
        <f>VLOOKUP(Q3,高低差,2)</f>
        <v>4</v>
      </c>
      <c r="K20" s="140">
        <f>VLOOKUP(E20+1,比準表,J20+1)/100+1</f>
        <v>1</v>
      </c>
      <c r="L20" s="150" t="s">
        <v>91</v>
      </c>
      <c r="M20" s="53"/>
      <c r="N20" s="53"/>
      <c r="O20" s="53"/>
      <c r="P20" s="53"/>
      <c r="Q20" s="53"/>
      <c r="R20" s="53"/>
      <c r="S20" s="53"/>
      <c r="T20" s="53"/>
      <c r="U20" s="53"/>
      <c r="V20" s="53"/>
      <c r="W20" s="53"/>
      <c r="X20" s="53"/>
      <c r="Y20" s="53"/>
      <c r="Z20" s="53"/>
      <c r="AA20" s="53"/>
      <c r="AB20" s="53"/>
    </row>
    <row r="21" spans="1:28" s="143" customFormat="1" ht="16.5" customHeight="1">
      <c r="A21" s="142" t="s">
        <v>260</v>
      </c>
      <c r="C21" s="2002"/>
      <c r="D21" s="136" t="str">
        <f>'比準表入力'!R17</f>
        <v>間口狭小</v>
      </c>
      <c r="E21" s="137">
        <v>1034</v>
      </c>
      <c r="F21" s="148">
        <f>AB7</f>
        <v>9.8</v>
      </c>
      <c r="G21" s="138">
        <f>VLOOKUP(F21,間_口狭小,2)</f>
        <v>1</v>
      </c>
      <c r="H21" s="139">
        <f>VLOOKUP(E21,比準表,G21+1)/100+1</f>
        <v>1</v>
      </c>
      <c r="I21" s="149">
        <f>AB3</f>
        <v>13.8</v>
      </c>
      <c r="J21" s="138">
        <f>VLOOKUP(I21,間_口狭小,2)</f>
        <v>1</v>
      </c>
      <c r="K21" s="140">
        <f>VLOOKUP(E21+1,比準表,J21+1)/100+1</f>
        <v>1</v>
      </c>
      <c r="L21" s="141" t="s">
        <v>92</v>
      </c>
      <c r="M21" s="53"/>
      <c r="N21" s="53"/>
      <c r="O21" s="53"/>
      <c r="P21" s="53"/>
      <c r="Q21" s="53"/>
      <c r="R21" s="53"/>
      <c r="S21" s="53"/>
      <c r="T21" s="53"/>
      <c r="U21" s="53"/>
      <c r="V21" s="53"/>
      <c r="W21" s="53"/>
      <c r="X21" s="53"/>
      <c r="Y21" s="53"/>
      <c r="Z21" s="53"/>
      <c r="AA21" s="53"/>
      <c r="AB21" s="53"/>
    </row>
    <row r="22" spans="1:28" s="143" customFormat="1" ht="16.5" customHeight="1">
      <c r="A22" s="142"/>
      <c r="B22" s="53"/>
      <c r="C22" s="2002"/>
      <c r="D22" s="136" t="str">
        <f>'比準表入力'!R22</f>
        <v>奥行逓減</v>
      </c>
      <c r="E22" s="137">
        <v>1044</v>
      </c>
      <c r="F22" s="148">
        <f>AC7</f>
        <v>22.8</v>
      </c>
      <c r="G22" s="138">
        <f>VLOOKUP(F22,奥_行逓減,2)</f>
        <v>1</v>
      </c>
      <c r="H22" s="139">
        <f>VLOOKUP(E22,比準表,G22+1)/100+1</f>
        <v>1</v>
      </c>
      <c r="I22" s="149">
        <f>AC3</f>
        <v>12.5</v>
      </c>
      <c r="J22" s="138">
        <f>VLOOKUP(I22,奥_行逓減,2)</f>
        <v>1</v>
      </c>
      <c r="K22" s="140">
        <f>VLOOKUP(E22+1,比準表,J22+1)/100+1</f>
        <v>1</v>
      </c>
      <c r="L22" s="151">
        <f>H3</f>
        <v>36219</v>
      </c>
      <c r="M22" s="53"/>
      <c r="N22" s="53"/>
      <c r="O22" s="53"/>
      <c r="P22" s="53"/>
      <c r="Q22" s="53"/>
      <c r="R22" s="53"/>
      <c r="S22" s="53"/>
      <c r="T22" s="53"/>
      <c r="U22" s="53"/>
      <c r="V22" s="53"/>
      <c r="W22" s="53"/>
      <c r="X22" s="53"/>
      <c r="Y22" s="53"/>
      <c r="Z22" s="53"/>
      <c r="AA22" s="53"/>
      <c r="AB22" s="53"/>
    </row>
    <row r="23" spans="3:12" ht="16.5" customHeight="1">
      <c r="C23" s="2002"/>
      <c r="D23" s="136" t="str">
        <f>'比準表入力'!R27</f>
        <v>奥行短小</v>
      </c>
      <c r="E23" s="137">
        <v>1054</v>
      </c>
      <c r="F23" s="148">
        <f>AC7</f>
        <v>22.8</v>
      </c>
      <c r="G23" s="138">
        <f>VLOOKUP(F23,奥_行短小,2)</f>
        <v>1</v>
      </c>
      <c r="H23" s="139">
        <f>VLOOKUP(E23,比準表,G23+1)/100+1</f>
        <v>1</v>
      </c>
      <c r="I23" s="149">
        <f>AC3</f>
        <v>12.5</v>
      </c>
      <c r="J23" s="138">
        <f>VLOOKUP(I23,奥_行短小,2)</f>
        <v>1</v>
      </c>
      <c r="K23" s="140">
        <f>VLOOKUP(E23+1,比準表,J23+1)/100+1</f>
        <v>1</v>
      </c>
      <c r="L23" s="152" t="s">
        <v>93</v>
      </c>
    </row>
    <row r="24" spans="3:12" ht="16.5" customHeight="1">
      <c r="C24" s="2002"/>
      <c r="D24" s="136" t="str">
        <f>'比準表入力'!R32</f>
        <v>奥行長大</v>
      </c>
      <c r="E24" s="137">
        <v>1064</v>
      </c>
      <c r="F24" s="153">
        <f>AC7/AB7</f>
        <v>2.326530612244898</v>
      </c>
      <c r="G24" s="138">
        <f>VLOOKUP(F24,奥_行長大,2)</f>
        <v>1</v>
      </c>
      <c r="H24" s="139">
        <f>VLOOKUP(E24,比準表,G24+1)/100+1</f>
        <v>1</v>
      </c>
      <c r="I24" s="154">
        <f>AC3/AB3</f>
        <v>0.9057971014492753</v>
      </c>
      <c r="J24" s="138">
        <f>VLOOKUP(I24,奥_行長大,2)</f>
        <v>1</v>
      </c>
      <c r="K24" s="140">
        <f>VLOOKUP(E24+1,比準表,J24+1)/100+1</f>
        <v>1</v>
      </c>
      <c r="L24" s="155">
        <f>B86</f>
        <v>0.9915</v>
      </c>
    </row>
    <row r="25" spans="3:29" ht="16.5" customHeight="1">
      <c r="C25" s="2002"/>
      <c r="D25" s="136" t="s">
        <v>94</v>
      </c>
      <c r="E25" s="137">
        <v>1073</v>
      </c>
      <c r="F25" s="156" t="str">
        <f>VLOOKUP(AD7,画地形状,2)</f>
        <v>ほぼ長方形</v>
      </c>
      <c r="G25" s="145">
        <f>AD7</f>
        <v>2</v>
      </c>
      <c r="H25" s="139">
        <f>VLOOKUP(E25,比準表,G25+2)/100+1</f>
        <v>1</v>
      </c>
      <c r="I25" s="157" t="str">
        <f>VLOOKUP(AD3,画地形状,2)</f>
        <v>ほぼ正方形</v>
      </c>
      <c r="J25" s="145">
        <f>AD3</f>
        <v>1</v>
      </c>
      <c r="K25" s="140">
        <f>VLOOKUP(E25,比準表,J25+2)/100+1</f>
        <v>1</v>
      </c>
      <c r="L25" s="158" t="s">
        <v>95</v>
      </c>
      <c r="AC25" s="159"/>
    </row>
    <row r="26" spans="3:29" ht="16.5" customHeight="1">
      <c r="C26" s="135"/>
      <c r="D26" s="160" t="str">
        <f>'比準表入力'!K74</f>
        <v>画地地勢</v>
      </c>
      <c r="E26" s="161">
        <v>1193</v>
      </c>
      <c r="F26" s="162" t="str">
        <f>VLOOKUP(AE7,画地地勢,2)</f>
        <v>平坦地</v>
      </c>
      <c r="G26" s="163">
        <f>AE7</f>
        <v>1</v>
      </c>
      <c r="H26" s="164">
        <f>VLOOKUP(E26,比準表,G26+1)/100+1</f>
        <v>1</v>
      </c>
      <c r="I26" s="165" t="str">
        <f>VLOOKUP(AE3,画地地勢,2)</f>
        <v>平坦地</v>
      </c>
      <c r="J26" s="163">
        <f>AE3</f>
        <v>1</v>
      </c>
      <c r="K26" s="166">
        <f>VLOOKUP(E26,比準表,J26+1)/100+1</f>
        <v>1</v>
      </c>
      <c r="L26" s="167" t="str">
        <f>VLOOKUP(J3,【取引事情区分】,2)</f>
        <v>無し</v>
      </c>
      <c r="AC26" s="159"/>
    </row>
    <row r="27" spans="3:40" ht="16.5" customHeight="1">
      <c r="C27" s="2001" t="s">
        <v>189</v>
      </c>
      <c r="D27" s="168" t="s">
        <v>928</v>
      </c>
      <c r="E27" s="169">
        <v>1103</v>
      </c>
      <c r="F27" s="170" t="str">
        <f>IF(U7=0,"無し",VLOOKUP(T7,街路方位,2))</f>
        <v>無し</v>
      </c>
      <c r="G27" s="171">
        <f>T7</f>
        <v>0</v>
      </c>
      <c r="H27" s="172">
        <f>IF(G27=0,0,VLOOKUP(E27,比準表,G27+2))/100+1</f>
        <v>1</v>
      </c>
      <c r="I27" s="173" t="str">
        <f>IF(U3=0,"無し",VLOOKUP(T3,街路方位,2))</f>
        <v>東</v>
      </c>
      <c r="J27" s="171">
        <f>T3</f>
        <v>1</v>
      </c>
      <c r="K27" s="174">
        <f>IF(J27=0,0,VLOOKUP(E27,比準表,J27+2))/100+1</f>
        <v>1.01</v>
      </c>
      <c r="L27" s="175"/>
      <c r="AC27" s="159"/>
      <c r="AM27" s="99"/>
      <c r="AN27" s="99"/>
    </row>
    <row r="28" spans="2:40" ht="16.5" customHeight="1">
      <c r="B28" s="53" t="s">
        <v>669</v>
      </c>
      <c r="C28" s="2002"/>
      <c r="D28" s="136" t="s">
        <v>929</v>
      </c>
      <c r="E28" s="137">
        <v>1113</v>
      </c>
      <c r="F28" s="148">
        <f>U7</f>
        <v>0</v>
      </c>
      <c r="G28" s="138">
        <f>VLOOKUP(F28,側道Ａ幅_員,2)</f>
        <v>1</v>
      </c>
      <c r="H28" s="139">
        <f>IF(F28=0,0,VLOOKUP(E28,比準表,G28+1))/100+1</f>
        <v>1</v>
      </c>
      <c r="I28" s="149">
        <f>U3</f>
        <v>2</v>
      </c>
      <c r="J28" s="138">
        <f>VLOOKUP(I28,側道Ａ幅_員,2)</f>
        <v>2</v>
      </c>
      <c r="K28" s="176">
        <f>IF(I28=0,0,VLOOKUP(E28,比準表,J28+1))/100+1</f>
        <v>1.006</v>
      </c>
      <c r="L28" s="152" t="s">
        <v>87</v>
      </c>
      <c r="AC28" s="159"/>
      <c r="AM28" s="99"/>
      <c r="AN28" s="99"/>
    </row>
    <row r="29" spans="3:35" ht="16.5" customHeight="1">
      <c r="C29" s="2002"/>
      <c r="D29" s="136" t="s">
        <v>1087</v>
      </c>
      <c r="E29" s="137">
        <v>1123</v>
      </c>
      <c r="F29" s="156" t="str">
        <f>IF(W7=0,"無し",VLOOKUP(V7,街路方位,2))</f>
        <v>無し</v>
      </c>
      <c r="G29" s="145">
        <f>V7</f>
        <v>0</v>
      </c>
      <c r="H29" s="139">
        <f>IF(G29=0,0,VLOOKUP(E29,比準表,G29+2))/100+1</f>
        <v>1</v>
      </c>
      <c r="I29" s="157" t="str">
        <f>IF(W3=0,"無し",VLOOKUP(V3,街路方位,2))</f>
        <v>無し</v>
      </c>
      <c r="J29" s="145">
        <f>V3</f>
        <v>0</v>
      </c>
      <c r="K29" s="177">
        <f>IF(J29=0,0,VLOOKUP(E29,比準表,J29+2))/100+1</f>
        <v>1</v>
      </c>
      <c r="L29" s="2011" t="str">
        <f>BG3</f>
        <v>　</v>
      </c>
      <c r="AC29" s="159"/>
      <c r="AH29" s="99"/>
      <c r="AI29" s="99"/>
    </row>
    <row r="30" spans="3:35" ht="16.5" customHeight="1">
      <c r="C30" s="2002"/>
      <c r="D30" s="136" t="s">
        <v>653</v>
      </c>
      <c r="E30" s="137">
        <v>1133</v>
      </c>
      <c r="F30" s="148">
        <f>W7</f>
        <v>0</v>
      </c>
      <c r="G30" s="138">
        <f>VLOOKUP(F30,側道Ｂ幅_員,2)</f>
        <v>1</v>
      </c>
      <c r="H30" s="139">
        <f>IF(F30=0,0,VLOOKUP(E30,比準表,G30+1))/100+1</f>
        <v>1</v>
      </c>
      <c r="I30" s="149">
        <f>W3</f>
        <v>0</v>
      </c>
      <c r="J30" s="138">
        <f>VLOOKUP(I30,側道Ｂ幅_員,2)</f>
        <v>1</v>
      </c>
      <c r="K30" s="176">
        <f>IF(I30=0,0,VLOOKUP(E30,比準表,J30+1))/100+1</f>
        <v>1</v>
      </c>
      <c r="L30" s="2011"/>
      <c r="AC30" s="159"/>
      <c r="AH30" s="99"/>
      <c r="AI30" s="99"/>
    </row>
    <row r="31" spans="3:40" ht="16.5" customHeight="1">
      <c r="C31" s="2013"/>
      <c r="D31" s="160" t="s">
        <v>1099</v>
      </c>
      <c r="E31" s="178">
        <v>1183</v>
      </c>
      <c r="F31" s="179" t="str">
        <f>VLOOKUP(X7,接面状況,2)</f>
        <v>中間画地</v>
      </c>
      <c r="G31" s="180">
        <f>X7</f>
        <v>6</v>
      </c>
      <c r="H31" s="181">
        <f>VLOOKUP(E31,比準表,G31+1)/100+1</f>
        <v>1</v>
      </c>
      <c r="I31" s="182" t="str">
        <f>VLOOKUP(X3,接面状況,2)</f>
        <v>角地</v>
      </c>
      <c r="J31" s="180">
        <f>X3</f>
        <v>1</v>
      </c>
      <c r="K31" s="183">
        <f>VLOOKUP(E31,比準表,J31+1)/100+1</f>
        <v>1.02</v>
      </c>
      <c r="L31" s="2011"/>
      <c r="AC31" s="159"/>
      <c r="AM31" s="99"/>
      <c r="AN31" s="99"/>
    </row>
    <row r="32" spans="3:38" ht="16.5" customHeight="1">
      <c r="C32" s="2001" t="s">
        <v>88</v>
      </c>
      <c r="D32" s="129" t="s">
        <v>202</v>
      </c>
      <c r="E32" s="130" t="s">
        <v>617</v>
      </c>
      <c r="F32" s="1986" t="str">
        <f>IF(Y7=0,"特に無し",Y7)</f>
        <v>特になし</v>
      </c>
      <c r="G32" s="1985"/>
      <c r="H32" s="184">
        <f>Z7</f>
        <v>1</v>
      </c>
      <c r="I32" s="1984" t="str">
        <f>IF(Y3=0,"特に無し",Y3)</f>
        <v>特になし</v>
      </c>
      <c r="J32" s="1985"/>
      <c r="K32" s="185">
        <f>Z3</f>
        <v>1</v>
      </c>
      <c r="L32" s="2012"/>
      <c r="AC32" s="159"/>
      <c r="AK32" s="99"/>
      <c r="AL32" s="99"/>
    </row>
    <row r="33" spans="2:38" ht="16.5" customHeight="1">
      <c r="B33" s="99"/>
      <c r="C33" s="2002"/>
      <c r="D33" s="186" t="s">
        <v>654</v>
      </c>
      <c r="E33" s="187"/>
      <c r="F33" s="2024" t="str">
        <f>IF(AND(AZ7=1,BA7=1),"道路接面画地",IF(AZ7&lt;1,"袋　　地","無道路地"))</f>
        <v>道路接面画地</v>
      </c>
      <c r="G33" s="1988"/>
      <c r="H33" s="188">
        <f>IF(AZ7=1,BA7,AZ7)</f>
        <v>1</v>
      </c>
      <c r="I33" s="1987" t="str">
        <f>IF(AND(AZ3=1,BA3=1),"道路接面画地",IF(AZ3&lt;1,"袋　　地","無道路地"))</f>
        <v>道路接面画地</v>
      </c>
      <c r="J33" s="1988"/>
      <c r="K33" s="189">
        <f>IF(AZ3=1,BA3,AZ3)</f>
        <v>1</v>
      </c>
      <c r="L33" s="2012"/>
      <c r="N33" s="190"/>
      <c r="AK33" s="99"/>
      <c r="AL33" s="99"/>
    </row>
    <row r="34" spans="2:38" ht="16.5" customHeight="1">
      <c r="B34" s="99"/>
      <c r="C34" s="2002"/>
      <c r="D34" s="136" t="s">
        <v>1104</v>
      </c>
      <c r="E34" s="137">
        <v>0</v>
      </c>
      <c r="F34" s="2025" t="str">
        <f>IF(AA7=0,"ｾｯﾄﾊﾞｯｸ無し",AA7)</f>
        <v>ｾｯﾄﾊﾞｯｸ無し</v>
      </c>
      <c r="G34" s="1990"/>
      <c r="H34" s="191">
        <f>1-ROUND(AA7/G7,3)</f>
        <v>1</v>
      </c>
      <c r="I34" s="1989">
        <f>IF(AA3=0,"ｾｯﾄﾊﾞｯｸ無し",AA3)</f>
        <v>10.35</v>
      </c>
      <c r="J34" s="1990"/>
      <c r="K34" s="192">
        <f>1-ROUND(AA3/G3,3)</f>
        <v>0.963</v>
      </c>
      <c r="L34" s="2012"/>
      <c r="N34" s="190"/>
      <c r="AK34" s="99"/>
      <c r="AL34" s="99"/>
    </row>
    <row r="35" spans="3:38" ht="16.5" customHeight="1">
      <c r="C35" s="2013"/>
      <c r="D35" s="160" t="s">
        <v>617</v>
      </c>
      <c r="E35" s="178" t="s">
        <v>617</v>
      </c>
      <c r="F35" s="193" t="s">
        <v>617</v>
      </c>
      <c r="G35" s="194" t="s">
        <v>617</v>
      </c>
      <c r="H35" s="181" t="s">
        <v>617</v>
      </c>
      <c r="I35" s="195" t="s">
        <v>617</v>
      </c>
      <c r="J35" s="194" t="s">
        <v>617</v>
      </c>
      <c r="K35" s="196" t="s">
        <v>617</v>
      </c>
      <c r="L35" s="2011"/>
      <c r="AK35" s="99"/>
      <c r="AL35" s="99"/>
    </row>
    <row r="36" spans="3:38" ht="16.5" customHeight="1" thickBot="1">
      <c r="C36" s="1993" t="s">
        <v>203</v>
      </c>
      <c r="D36" s="1994"/>
      <c r="E36" s="1995"/>
      <c r="F36" s="1991" t="s">
        <v>204</v>
      </c>
      <c r="G36" s="1992"/>
      <c r="H36" s="197">
        <f>ROUND(PRODUCT(H17:H35),3)</f>
        <v>1.02</v>
      </c>
      <c r="I36" s="1996" t="s">
        <v>97</v>
      </c>
      <c r="J36" s="1997"/>
      <c r="K36" s="198">
        <f>ROUND(PRODUCT(K17:K35),3)</f>
        <v>0.998</v>
      </c>
      <c r="L36" s="199"/>
      <c r="AK36" s="99"/>
      <c r="AL36" s="99"/>
    </row>
    <row r="37" spans="3:33" ht="16.5" customHeight="1" thickTop="1">
      <c r="C37" s="200" t="s">
        <v>98</v>
      </c>
      <c r="D37" s="121" t="s">
        <v>621</v>
      </c>
      <c r="E37" s="201" t="s">
        <v>622</v>
      </c>
      <c r="F37" s="202" t="s">
        <v>54</v>
      </c>
      <c r="G37" s="203" t="s">
        <v>9</v>
      </c>
      <c r="H37" s="204" t="s">
        <v>623</v>
      </c>
      <c r="I37" s="205" t="s">
        <v>55</v>
      </c>
      <c r="J37" s="203" t="s">
        <v>9</v>
      </c>
      <c r="K37" s="206" t="s">
        <v>623</v>
      </c>
      <c r="L37" s="207" t="s">
        <v>655</v>
      </c>
      <c r="AF37" s="99"/>
      <c r="AG37" s="99"/>
    </row>
    <row r="38" spans="3:33" ht="16.5" customHeight="1">
      <c r="C38" s="2001" t="s">
        <v>56</v>
      </c>
      <c r="D38" s="129" t="str">
        <f>'比準表入力'!R77</f>
        <v>主街路種別</v>
      </c>
      <c r="E38" s="130">
        <v>1213</v>
      </c>
      <c r="F38" s="208" t="str">
        <f>VLOOKUP(M7,街路種別,2)</f>
        <v>市道</v>
      </c>
      <c r="G38" s="209">
        <f>M7</f>
        <v>31</v>
      </c>
      <c r="H38" s="132">
        <f>VLOOKUP(G38,街路種別,3)/100+1</f>
        <v>1</v>
      </c>
      <c r="I38" s="210" t="str">
        <f>VLOOKUP(M3,街路種別,2)</f>
        <v>市道</v>
      </c>
      <c r="J38" s="209">
        <f>M3</f>
        <v>31</v>
      </c>
      <c r="K38" s="133">
        <f>VLOOKUP(J38,街路種別,3)/100+1</f>
        <v>1</v>
      </c>
      <c r="L38" s="211">
        <f>ROUND(K38/H38,3)</f>
        <v>1</v>
      </c>
      <c r="AF38" s="99"/>
      <c r="AG38" s="99"/>
    </row>
    <row r="39" spans="3:33" ht="16.5" customHeight="1">
      <c r="C39" s="2002"/>
      <c r="D39" s="136" t="s">
        <v>1075</v>
      </c>
      <c r="E39" s="137">
        <v>1223</v>
      </c>
      <c r="F39" s="212" t="str">
        <f>VLOOKUP(N7,系統連続性,2)</f>
        <v>行止道</v>
      </c>
      <c r="G39" s="145">
        <f>N7</f>
        <v>4</v>
      </c>
      <c r="H39" s="139">
        <f>VLOOKUP(E39,比準表,G39+1)/100+1</f>
        <v>0.9</v>
      </c>
      <c r="I39" s="213" t="str">
        <f>VLOOKUP(N3,系統連続性,2)</f>
        <v>普通</v>
      </c>
      <c r="J39" s="145">
        <f>N3</f>
        <v>2</v>
      </c>
      <c r="K39" s="140">
        <f>VLOOKUP(E39,比準表,J39+1)/100+1</f>
        <v>1</v>
      </c>
      <c r="L39" s="211">
        <f>ROUND(K39/H39,3)</f>
        <v>1.111</v>
      </c>
      <c r="AF39" s="99"/>
      <c r="AG39" s="99"/>
    </row>
    <row r="40" spans="3:33" ht="16.5" customHeight="1">
      <c r="C40" s="2002"/>
      <c r="D40" s="136" t="str">
        <f>'比準表入力'!R83</f>
        <v>主街路幅員</v>
      </c>
      <c r="E40" s="137">
        <f>1234</f>
        <v>1234</v>
      </c>
      <c r="F40" s="214">
        <f>P7</f>
        <v>5.5</v>
      </c>
      <c r="G40" s="138">
        <f>VLOOKUP(F40,正面幅_員,2)</f>
        <v>3</v>
      </c>
      <c r="H40" s="139">
        <f>ROUND(VLOOKUP(E40,比準表,G40+1)/100+1,3)</f>
        <v>1.125</v>
      </c>
      <c r="I40" s="215">
        <f>P3</f>
        <v>3.5</v>
      </c>
      <c r="J40" s="138">
        <f>VLOOKUP(I40,正面幅_員,2)</f>
        <v>2</v>
      </c>
      <c r="K40" s="140">
        <f>ROUND(VLOOKUP(E40+1,比準表,J40+1)/100+1,3)</f>
        <v>1.075</v>
      </c>
      <c r="L40" s="211">
        <f>ROUND(K40/H40,3)</f>
        <v>0.956</v>
      </c>
      <c r="AF40" s="99"/>
      <c r="AG40" s="99"/>
    </row>
    <row r="41" spans="3:33" ht="16.5" customHeight="1">
      <c r="C41" s="2002"/>
      <c r="D41" s="136" t="str">
        <f>'比準表入力'!R93</f>
        <v>歩道の有無</v>
      </c>
      <c r="E41" s="137">
        <v>1253</v>
      </c>
      <c r="F41" s="212" t="str">
        <f>VLOOKUP(R7,歩道有無,2)</f>
        <v>　</v>
      </c>
      <c r="G41" s="145">
        <f>R7</f>
        <v>0</v>
      </c>
      <c r="H41" s="139">
        <f>VLOOKUP(E41,比準表,G41+2)/100+1</f>
        <v>1</v>
      </c>
      <c r="I41" s="213" t="str">
        <f>VLOOKUP(R3,歩道有無,2)</f>
        <v>　</v>
      </c>
      <c r="J41" s="145">
        <f>R3</f>
        <v>0</v>
      </c>
      <c r="K41" s="140">
        <f>VLOOKUP(E41,比準表,J41+2)/100+1</f>
        <v>1</v>
      </c>
      <c r="L41" s="211">
        <f>ROUND(K41/H41,3)</f>
        <v>1</v>
      </c>
      <c r="AF41" s="99"/>
      <c r="AG41" s="99"/>
    </row>
    <row r="42" spans="3:33" ht="16.5" customHeight="1">
      <c r="C42" s="2013"/>
      <c r="D42" s="160" t="str">
        <f>'比準表入力'!R96</f>
        <v>舗装の状態</v>
      </c>
      <c r="E42" s="178">
        <v>1263</v>
      </c>
      <c r="F42" s="216" t="str">
        <f>VLOOKUP(S7,舗装状態,2)</f>
        <v>アスファルト</v>
      </c>
      <c r="G42" s="180">
        <f>S7</f>
        <v>1</v>
      </c>
      <c r="H42" s="181">
        <f>VLOOKUP(E42,比準表,G42+2)/100+1</f>
        <v>1.02</v>
      </c>
      <c r="I42" s="217" t="str">
        <f>VLOOKUP(S3,舗装状態,2)</f>
        <v>アスファルト</v>
      </c>
      <c r="J42" s="180">
        <f>S3</f>
        <v>1</v>
      </c>
      <c r="K42" s="218">
        <f>VLOOKUP(E42,比準表,J42+2)/100+1</f>
        <v>1.02</v>
      </c>
      <c r="L42" s="219">
        <f>ROUND(K42/H42,3)</f>
        <v>1</v>
      </c>
      <c r="AF42" s="99"/>
      <c r="AG42" s="99"/>
    </row>
    <row r="43" spans="3:12" ht="16.5" customHeight="1">
      <c r="C43" s="2001" t="s">
        <v>168</v>
      </c>
      <c r="D43" s="2017" t="str">
        <f>'比準表入力'!A87</f>
        <v>最寄駅等の距離</v>
      </c>
      <c r="E43" s="1981">
        <f>1304</f>
        <v>1304</v>
      </c>
      <c r="F43" s="170" t="str">
        <f>AF7</f>
        <v>ＪＲ岐阜駅</v>
      </c>
      <c r="G43" s="220"/>
      <c r="H43" s="221"/>
      <c r="I43" s="173" t="str">
        <f>AF3</f>
        <v>ＪＲ岐阜駅</v>
      </c>
      <c r="J43" s="220"/>
      <c r="K43" s="222"/>
      <c r="L43" s="223"/>
    </row>
    <row r="44" spans="3:12" ht="16.5" customHeight="1">
      <c r="C44" s="2002"/>
      <c r="D44" s="2015"/>
      <c r="E44" s="1982"/>
      <c r="F44" s="224">
        <f>AG7</f>
        <v>5300</v>
      </c>
      <c r="G44" s="131">
        <f>VLOOKUP(F44,駅の距_離,2)</f>
        <v>4</v>
      </c>
      <c r="H44" s="132">
        <f>ROUND(VLOOKUP(E43,比準表,G44+1)/100+1,3)</f>
        <v>0.609</v>
      </c>
      <c r="I44" s="225">
        <f>AG3</f>
        <v>5500</v>
      </c>
      <c r="J44" s="131">
        <f>VLOOKUP(I44,駅の距_離,2)</f>
        <v>4</v>
      </c>
      <c r="K44" s="133">
        <f>ROUND(VLOOKUP(E43+1,比準表,J44+1)/100+1,3)</f>
        <v>0.606</v>
      </c>
      <c r="L44" s="211">
        <f>ROUND(K44/H44,3)</f>
        <v>0.995</v>
      </c>
    </row>
    <row r="45" spans="2:36" ht="16.5" customHeight="1">
      <c r="B45" s="99"/>
      <c r="C45" s="2002"/>
      <c r="D45" s="2014" t="str">
        <f>'比準表入力'!F87</f>
        <v>商業施設の距離</v>
      </c>
      <c r="E45" s="1983">
        <f>1314</f>
        <v>1314</v>
      </c>
      <c r="F45" s="227" t="str">
        <f>AH7</f>
        <v>バローＳ.Ｃ.長良店</v>
      </c>
      <c r="G45" s="228"/>
      <c r="H45" s="229"/>
      <c r="I45" s="230" t="str">
        <f>AH3</f>
        <v>ユニー長良店</v>
      </c>
      <c r="J45" s="228"/>
      <c r="K45" s="231"/>
      <c r="L45" s="223"/>
      <c r="AD45" s="190"/>
      <c r="AE45" s="190"/>
      <c r="AF45" s="190"/>
      <c r="AG45" s="190"/>
      <c r="AH45" s="190"/>
      <c r="AI45" s="190"/>
      <c r="AJ45" s="190"/>
    </row>
    <row r="46" spans="2:36" ht="16.5" customHeight="1">
      <c r="B46" s="99"/>
      <c r="C46" s="2002"/>
      <c r="D46" s="2015"/>
      <c r="E46" s="1982"/>
      <c r="F46" s="227">
        <f>AI7</f>
        <v>1300</v>
      </c>
      <c r="G46" s="138">
        <f>VLOOKUP(F46,商業施設距_離,2)</f>
        <v>3</v>
      </c>
      <c r="H46" s="139">
        <f>ROUND(VLOOKUP(E45,比準表,G46+1)/100+1,3)</f>
        <v>0.835</v>
      </c>
      <c r="I46" s="230">
        <f>AI3</f>
        <v>1000</v>
      </c>
      <c r="J46" s="138">
        <f>VLOOKUP(I46,商業施設距_離,2)</f>
        <v>3</v>
      </c>
      <c r="K46" s="140">
        <f>ROUND(VLOOKUP(E45+1,比準表,J46+1)/100+1,3)</f>
        <v>0.85</v>
      </c>
      <c r="L46" s="211">
        <f>ROUND(K46/H46,3)</f>
        <v>1.018</v>
      </c>
      <c r="AD46" s="190"/>
      <c r="AE46" s="190"/>
      <c r="AF46" s="190"/>
      <c r="AG46" s="190"/>
      <c r="AH46" s="190"/>
      <c r="AI46" s="190"/>
      <c r="AJ46" s="190"/>
    </row>
    <row r="47" spans="3:36" s="190" customFormat="1" ht="16.5" customHeight="1">
      <c r="C47" s="2002"/>
      <c r="D47" s="2014" t="str">
        <f>'比準表入力'!K87</f>
        <v>公共施設の距離</v>
      </c>
      <c r="E47" s="1983">
        <f>1324</f>
        <v>1324</v>
      </c>
      <c r="F47" s="227" t="str">
        <f>AJ7</f>
        <v>長良小学校</v>
      </c>
      <c r="G47" s="228"/>
      <c r="H47" s="229"/>
      <c r="I47" s="230" t="str">
        <f>AJ3</f>
        <v>長良小学校</v>
      </c>
      <c r="J47" s="228"/>
      <c r="K47" s="231"/>
      <c r="L47" s="223"/>
      <c r="M47" s="53"/>
      <c r="N47" s="53"/>
      <c r="O47" s="53"/>
      <c r="P47" s="53"/>
      <c r="Q47" s="53"/>
      <c r="R47" s="53"/>
      <c r="S47" s="53"/>
      <c r="T47" s="53"/>
      <c r="U47" s="53"/>
      <c r="V47" s="53"/>
      <c r="W47" s="53"/>
      <c r="X47" s="53"/>
      <c r="Y47" s="53"/>
      <c r="Z47" s="53"/>
      <c r="AA47" s="53"/>
      <c r="AB47" s="53"/>
      <c r="AC47" s="53"/>
      <c r="AD47" s="143"/>
      <c r="AE47" s="143"/>
      <c r="AF47" s="143"/>
      <c r="AG47" s="143"/>
      <c r="AH47" s="143"/>
      <c r="AI47" s="143"/>
      <c r="AJ47" s="143"/>
    </row>
    <row r="48" spans="3:36" s="190" customFormat="1" ht="16.5" customHeight="1">
      <c r="C48" s="2002"/>
      <c r="D48" s="2015"/>
      <c r="E48" s="1982"/>
      <c r="F48" s="227">
        <f>AK7</f>
        <v>700</v>
      </c>
      <c r="G48" s="138">
        <f>VLOOKUP(F48,公共施設距_離,2)</f>
        <v>2</v>
      </c>
      <c r="H48" s="139">
        <f>ROUND(VLOOKUP(E47,比準表,G48+1)/100+1,3)</f>
        <v>0.88</v>
      </c>
      <c r="I48" s="230">
        <f>AK3</f>
        <v>200</v>
      </c>
      <c r="J48" s="138">
        <f>VLOOKUP(I48,公共施設距_離,2)</f>
        <v>1</v>
      </c>
      <c r="K48" s="140">
        <f>ROUND(VLOOKUP(E47+1,比準表,J48+1)/100+1,3)</f>
        <v>0.96</v>
      </c>
      <c r="L48" s="211">
        <f>ROUND(K48/H48,3)</f>
        <v>1.091</v>
      </c>
      <c r="M48" s="53"/>
      <c r="N48" s="53"/>
      <c r="O48" s="53"/>
      <c r="P48" s="53"/>
      <c r="Q48" s="53"/>
      <c r="R48" s="53"/>
      <c r="S48" s="53"/>
      <c r="T48" s="53"/>
      <c r="U48" s="53"/>
      <c r="V48" s="53"/>
      <c r="W48" s="53"/>
      <c r="X48" s="53"/>
      <c r="Y48" s="53"/>
      <c r="Z48" s="53"/>
      <c r="AA48" s="53"/>
      <c r="AB48" s="53"/>
      <c r="AC48" s="53"/>
      <c r="AD48" s="143"/>
      <c r="AE48" s="143"/>
      <c r="AF48" s="143"/>
      <c r="AG48" s="143"/>
      <c r="AH48" s="143"/>
      <c r="AI48" s="143"/>
      <c r="AJ48" s="143"/>
    </row>
    <row r="49" spans="3:29" s="143" customFormat="1" ht="16.5" customHeight="1">
      <c r="C49" s="2002"/>
      <c r="D49" s="2014" t="str">
        <f>'比準表入力'!A99</f>
        <v>圏域中心の距離</v>
      </c>
      <c r="E49" s="1983">
        <f>1334</f>
        <v>1334</v>
      </c>
      <c r="F49" s="227" t="str">
        <f>AL7</f>
        <v>なし</v>
      </c>
      <c r="G49" s="228"/>
      <c r="H49" s="229"/>
      <c r="I49" s="230" t="str">
        <f>AL3</f>
        <v>なし</v>
      </c>
      <c r="J49" s="228"/>
      <c r="K49" s="231"/>
      <c r="L49" s="223"/>
      <c r="M49" s="53"/>
      <c r="N49" s="53"/>
      <c r="O49" s="53"/>
      <c r="P49" s="53"/>
      <c r="Q49" s="53"/>
      <c r="R49" s="53"/>
      <c r="S49" s="53"/>
      <c r="T49" s="53"/>
      <c r="U49" s="53"/>
      <c r="V49" s="53"/>
      <c r="W49" s="53"/>
      <c r="X49" s="53"/>
      <c r="Y49" s="53"/>
      <c r="Z49" s="53"/>
      <c r="AA49" s="53"/>
      <c r="AB49" s="53"/>
      <c r="AC49" s="99"/>
    </row>
    <row r="50" spans="3:33" ht="16.5" customHeight="1">
      <c r="C50" s="2013"/>
      <c r="D50" s="2016"/>
      <c r="E50" s="2023"/>
      <c r="F50" s="232">
        <f>AM7</f>
        <v>0</v>
      </c>
      <c r="G50" s="233">
        <f>VLOOKUP(F50,圏域中心距_離,2)</f>
        <v>1</v>
      </c>
      <c r="H50" s="181">
        <f>ROUND(VLOOKUP(E49,比準表,G50+1)/100+1,3)</f>
        <v>1</v>
      </c>
      <c r="I50" s="234">
        <f>AM3</f>
        <v>0</v>
      </c>
      <c r="J50" s="233">
        <f>VLOOKUP(I50,圏域中心距_離,2)</f>
        <v>1</v>
      </c>
      <c r="K50" s="218">
        <f>ROUND(VLOOKUP(E49+1,比準表,J50+1)/100+1,3)</f>
        <v>1</v>
      </c>
      <c r="L50" s="235">
        <f>ROUND(K50/H50,3)</f>
        <v>1</v>
      </c>
      <c r="AF50" s="99"/>
      <c r="AG50" s="99"/>
    </row>
    <row r="51" spans="3:33" ht="16.5" customHeight="1">
      <c r="C51" s="2001" t="s">
        <v>74</v>
      </c>
      <c r="D51" s="129" t="s">
        <v>1248</v>
      </c>
      <c r="E51" s="130">
        <v>1403</v>
      </c>
      <c r="F51" s="208" t="str">
        <f>VLOOKUP(AN7,日照・地勢,2)</f>
        <v>普通</v>
      </c>
      <c r="G51" s="209">
        <f>AN7</f>
        <v>0</v>
      </c>
      <c r="H51" s="172">
        <f>VLOOKUP(AN7,日照・地勢,3)/100+1</f>
        <v>1</v>
      </c>
      <c r="I51" s="210" t="str">
        <f>VLOOKUP(AN3,日照・地勢,2)</f>
        <v>普通</v>
      </c>
      <c r="J51" s="209">
        <f>AN3</f>
        <v>0</v>
      </c>
      <c r="K51" s="236">
        <f>VLOOKUP(AN3,日照・地勢,3)/100+1</f>
        <v>1</v>
      </c>
      <c r="L51" s="211">
        <f>ROUND(K51/H51,3)</f>
        <v>1</v>
      </c>
      <c r="N51" s="99"/>
      <c r="AF51" s="99"/>
      <c r="AG51" s="99"/>
    </row>
    <row r="52" spans="3:33" ht="16.5" customHeight="1">
      <c r="C52" s="2002"/>
      <c r="D52" s="136" t="s">
        <v>311</v>
      </c>
      <c r="E52" s="137">
        <v>1413</v>
      </c>
      <c r="F52" s="237" t="str">
        <f>VLOOKUP(AO7,日照・地勢,2)</f>
        <v>普通</v>
      </c>
      <c r="G52" s="145">
        <f>AO7</f>
        <v>0</v>
      </c>
      <c r="H52" s="139">
        <f>VLOOKUP(AO7,日照・地勢,3)/100+1</f>
        <v>1</v>
      </c>
      <c r="I52" s="238" t="str">
        <f>VLOOKUP(AO3,日照・地勢,2)</f>
        <v>普通</v>
      </c>
      <c r="J52" s="145">
        <f>AO3</f>
        <v>0</v>
      </c>
      <c r="K52" s="140">
        <f>VLOOKUP(AO3,日照・地勢,3)/100+1</f>
        <v>1</v>
      </c>
      <c r="L52" s="211">
        <f>ROUND(K52/H52,3)</f>
        <v>1</v>
      </c>
      <c r="N52" s="143"/>
      <c r="AF52" s="99"/>
      <c r="AG52" s="99"/>
    </row>
    <row r="53" spans="3:33" ht="16.5" customHeight="1">
      <c r="C53" s="2002"/>
      <c r="D53" s="2019" t="s">
        <v>934</v>
      </c>
      <c r="E53" s="2021">
        <v>1423</v>
      </c>
      <c r="F53" s="2026" t="str">
        <f>AP7</f>
        <v>農地・空地も介在する住宅地域</v>
      </c>
      <c r="G53" s="2026"/>
      <c r="H53" s="2027"/>
      <c r="I53" s="2028" t="str">
        <f>AP3</f>
        <v>一般住宅等が建ち並ぶ住宅地域</v>
      </c>
      <c r="J53" s="2026"/>
      <c r="K53" s="2029"/>
      <c r="L53" s="239" t="s">
        <v>997</v>
      </c>
      <c r="N53" s="143"/>
      <c r="AF53" s="99"/>
      <c r="AG53" s="99"/>
    </row>
    <row r="54" spans="3:33" ht="16.5" customHeight="1">
      <c r="C54" s="2002"/>
      <c r="D54" s="2020"/>
      <c r="E54" s="2022"/>
      <c r="F54" s="99"/>
      <c r="G54" s="240">
        <f>AQ7</f>
        <v>4</v>
      </c>
      <c r="H54" s="139">
        <f>VLOOKUP(E53,比準表,G54+1)/100+1</f>
        <v>1</v>
      </c>
      <c r="I54" s="99"/>
      <c r="J54" s="240">
        <f>AQ3</f>
        <v>4</v>
      </c>
      <c r="K54" s="177">
        <f>VLOOKUP(E53,比準表,J54+1)/100+1</f>
        <v>1</v>
      </c>
      <c r="L54" s="211">
        <f aca="true" t="shared" si="1" ref="L54:L66">ROUND(K54/H54,3)</f>
        <v>1</v>
      </c>
      <c r="N54" s="143"/>
      <c r="AF54" s="99"/>
      <c r="AG54" s="99"/>
    </row>
    <row r="55" spans="3:37" ht="16.5" customHeight="1">
      <c r="C55" s="2002"/>
      <c r="D55" s="136" t="str">
        <f>'比準表入力'!R160</f>
        <v>上　水　道</v>
      </c>
      <c r="E55" s="137">
        <v>1433</v>
      </c>
      <c r="F55" s="237" t="str">
        <f>VLOOKUP(AR7,水道,2)</f>
        <v>供給区域</v>
      </c>
      <c r="G55" s="145">
        <f>AR7</f>
        <v>1</v>
      </c>
      <c r="H55" s="139">
        <f>VLOOKUP(G55,水道,3)/100+1</f>
        <v>1</v>
      </c>
      <c r="I55" s="238" t="str">
        <f>VLOOKUP(AR3,水道,2)</f>
        <v>供給区域</v>
      </c>
      <c r="J55" s="145">
        <f>AR3</f>
        <v>1</v>
      </c>
      <c r="K55" s="140">
        <f>VLOOKUP(J55,水道,3)/100+1</f>
        <v>1</v>
      </c>
      <c r="L55" s="211">
        <f t="shared" si="1"/>
        <v>1</v>
      </c>
      <c r="N55" s="143"/>
      <c r="AJ55" s="99"/>
      <c r="AK55" s="99"/>
    </row>
    <row r="56" spans="3:34" ht="16.5" customHeight="1">
      <c r="C56" s="2002"/>
      <c r="D56" s="136" t="str">
        <f>'比準表入力'!R163</f>
        <v>下　水　道</v>
      </c>
      <c r="E56" s="137">
        <v>1443</v>
      </c>
      <c r="F56" s="237" t="str">
        <f>VLOOKUP(AS7,下水,2)</f>
        <v>処理区域内</v>
      </c>
      <c r="G56" s="145">
        <f>AS7</f>
        <v>1</v>
      </c>
      <c r="H56" s="139">
        <f>VLOOKUP(G56,下水,3)/100+1</f>
        <v>1</v>
      </c>
      <c r="I56" s="238" t="str">
        <f>VLOOKUP(AS3,下水,2)</f>
        <v>処理区域内</v>
      </c>
      <c r="J56" s="145">
        <f>AS3</f>
        <v>1</v>
      </c>
      <c r="K56" s="140">
        <f>VLOOKUP(J56,下水,3)/100+1</f>
        <v>1</v>
      </c>
      <c r="L56" s="211">
        <f t="shared" si="1"/>
        <v>1</v>
      </c>
      <c r="AG56" s="99"/>
      <c r="AH56" s="99"/>
    </row>
    <row r="57" spans="3:35" ht="16.5" customHeight="1">
      <c r="C57" s="2002"/>
      <c r="D57" s="136" t="str">
        <f>'比準表入力'!R166</f>
        <v>都市ガス等</v>
      </c>
      <c r="E57" s="137">
        <v>1453</v>
      </c>
      <c r="F57" s="237" t="str">
        <f>VLOOKUP(AT7,都市ガス,2)</f>
        <v>供給区域</v>
      </c>
      <c r="G57" s="145">
        <f>AT7</f>
        <v>1</v>
      </c>
      <c r="H57" s="139">
        <f>VLOOKUP(G57,都市ガス,3)/100+1</f>
        <v>1</v>
      </c>
      <c r="I57" s="238" t="str">
        <f>VLOOKUP(AT3,都市ガス,2)</f>
        <v>供給区域</v>
      </c>
      <c r="J57" s="145">
        <f>AT3</f>
        <v>1</v>
      </c>
      <c r="K57" s="140">
        <f>VLOOKUP(J57,都市ガス,3)/100+1</f>
        <v>1</v>
      </c>
      <c r="L57" s="211">
        <f t="shared" si="1"/>
        <v>1</v>
      </c>
      <c r="AH57" s="99"/>
      <c r="AI57" s="99"/>
    </row>
    <row r="58" spans="3:12" ht="16.5" customHeight="1">
      <c r="C58" s="2013"/>
      <c r="D58" s="241" t="s">
        <v>75</v>
      </c>
      <c r="E58" s="226">
        <v>1463</v>
      </c>
      <c r="F58" s="237" t="str">
        <f>BB7</f>
        <v>無し</v>
      </c>
      <c r="G58" s="242">
        <f>BC7</f>
        <v>0</v>
      </c>
      <c r="H58" s="243">
        <f>IF(G58=0,1,ROUND(VLOOKUP(BC7,危険施設距_離,3)/100+1,3))</f>
        <v>1</v>
      </c>
      <c r="I58" s="244" t="str">
        <f>BB3</f>
        <v>無し</v>
      </c>
      <c r="J58" s="242">
        <f>BC3</f>
        <v>0</v>
      </c>
      <c r="K58" s="245">
        <f>IF(J58=0,1,ROUND(VLOOKUP(BC3,危険施設距_離,3)/100+1,3))</f>
        <v>1</v>
      </c>
      <c r="L58" s="246">
        <f t="shared" si="1"/>
        <v>1</v>
      </c>
    </row>
    <row r="59" spans="3:12" ht="16.5" customHeight="1">
      <c r="C59" s="2001" t="s">
        <v>76</v>
      </c>
      <c r="D59" s="168" t="str">
        <f>'比準表入力'!R207</f>
        <v>都市計画区分</v>
      </c>
      <c r="E59" s="169">
        <v>1543</v>
      </c>
      <c r="F59" s="247" t="str">
        <f>VLOOKUP(1541,比準表,AU7+1)</f>
        <v>市街化区域</v>
      </c>
      <c r="G59" s="248">
        <f>AU7</f>
        <v>1</v>
      </c>
      <c r="H59" s="172">
        <f>VLOOKUP(E59,比準表,G59+1)/100+1</f>
        <v>1</v>
      </c>
      <c r="I59" s="249" t="str">
        <f>VLOOKUP(1541,比準表,AU3+1)</f>
        <v>市街化区域</v>
      </c>
      <c r="J59" s="248">
        <f>AU3</f>
        <v>1</v>
      </c>
      <c r="K59" s="236">
        <f>VLOOKUP(E59,比準表,J59+1)/100+1</f>
        <v>1</v>
      </c>
      <c r="L59" s="250">
        <f t="shared" si="1"/>
        <v>1</v>
      </c>
    </row>
    <row r="60" spans="2:29" ht="16.5" customHeight="1">
      <c r="B60" s="159"/>
      <c r="C60" s="2002"/>
      <c r="D60" s="129" t="s">
        <v>835</v>
      </c>
      <c r="E60" s="130">
        <v>1503</v>
      </c>
      <c r="F60" s="208" t="str">
        <f>VLOOKUP(AV7,用途地域,2)</f>
        <v>二住居</v>
      </c>
      <c r="G60" s="209">
        <f>VLOOKUP(AV7,用途地域,3)</f>
        <v>0</v>
      </c>
      <c r="H60" s="132">
        <f>G60/100+1</f>
        <v>1</v>
      </c>
      <c r="I60" s="210" t="str">
        <f>VLOOKUP(AV3,用途地域,2)</f>
        <v>二中専</v>
      </c>
      <c r="J60" s="209">
        <f>VLOOKUP(AV3,用途地域,3)</f>
        <v>0</v>
      </c>
      <c r="K60" s="133">
        <f>J60/100+1</f>
        <v>1</v>
      </c>
      <c r="L60" s="211">
        <f t="shared" si="1"/>
        <v>1</v>
      </c>
      <c r="N60" s="159"/>
      <c r="AC60" s="143"/>
    </row>
    <row r="61" spans="3:12" ht="16.5" customHeight="1">
      <c r="C61" s="2002"/>
      <c r="D61" s="136" t="str">
        <f>'比準表入力'!R194</f>
        <v>基準容積率</v>
      </c>
      <c r="E61" s="137">
        <f>1514</f>
        <v>1514</v>
      </c>
      <c r="F61" s="251">
        <f>F76</f>
        <v>200</v>
      </c>
      <c r="G61" s="138">
        <f>VLOOKUP(F61,基準容積率,2)</f>
        <v>6</v>
      </c>
      <c r="H61" s="139">
        <f>ROUND(VLOOKUP(E61,比準表,G61+1)/100+1,3)</f>
        <v>1</v>
      </c>
      <c r="I61" s="252">
        <f>F75</f>
        <v>160</v>
      </c>
      <c r="J61" s="138">
        <f>VLOOKUP(I61,基準容積率,2)</f>
        <v>5</v>
      </c>
      <c r="K61" s="140">
        <f>ROUND(VLOOKUP(E61+1,比準表,J61+1)/100+1,3)</f>
        <v>0.98</v>
      </c>
      <c r="L61" s="253">
        <f t="shared" si="1"/>
        <v>0.98</v>
      </c>
    </row>
    <row r="62" spans="3:12" ht="16.5" customHeight="1">
      <c r="C62" s="2002"/>
      <c r="D62" s="136" t="str">
        <f>'比準表入力'!R199</f>
        <v>基準建蔽率</v>
      </c>
      <c r="E62" s="137">
        <f>1524</f>
        <v>1524</v>
      </c>
      <c r="F62" s="251">
        <f>O76</f>
        <v>60</v>
      </c>
      <c r="G62" s="138">
        <f>VLOOKUP(F62,基準建蔽率,2)</f>
        <v>5</v>
      </c>
      <c r="H62" s="139">
        <f>ROUND(VLOOKUP(E62,比準表,G62+1)/100+1,3)</f>
        <v>1</v>
      </c>
      <c r="I62" s="252">
        <f>O75</f>
        <v>70</v>
      </c>
      <c r="J62" s="138">
        <f>VLOOKUP(I62,基準建蔽率,2)</f>
        <v>6</v>
      </c>
      <c r="K62" s="140">
        <f>ROUND(VLOOKUP(E62+1,比準表,J62+1)/100+1,3)</f>
        <v>1.02</v>
      </c>
      <c r="L62" s="253">
        <f t="shared" si="1"/>
        <v>1.02</v>
      </c>
    </row>
    <row r="63" spans="3:12" ht="16.5" customHeight="1">
      <c r="C63" s="2013"/>
      <c r="D63" s="160" t="s">
        <v>1088</v>
      </c>
      <c r="E63" s="178">
        <v>1533</v>
      </c>
      <c r="F63" s="254" t="str">
        <f>VLOOKUP(1531,比準表,AY7+2)</f>
        <v>準防火地域</v>
      </c>
      <c r="G63" s="255">
        <f>AY7</f>
        <v>2</v>
      </c>
      <c r="H63" s="181">
        <f>VLOOKUP(E63,比準表,G63+2)/100+1</f>
        <v>1.01</v>
      </c>
      <c r="I63" s="256" t="str">
        <f>VLOOKUP(1531,比準表,AY3+2)</f>
        <v>準防火地域</v>
      </c>
      <c r="J63" s="255">
        <f>AY3</f>
        <v>2</v>
      </c>
      <c r="K63" s="218">
        <f>VLOOKUP(E63,比準表,J63+2)/100+1</f>
        <v>1.01</v>
      </c>
      <c r="L63" s="219">
        <f t="shared" si="1"/>
        <v>1</v>
      </c>
    </row>
    <row r="64" spans="3:12" ht="16.5" customHeight="1">
      <c r="C64" s="2001" t="s">
        <v>0</v>
      </c>
      <c r="D64" s="129" t="str">
        <f>'比準表入力'!A163</f>
        <v>商業繁華性等</v>
      </c>
      <c r="E64" s="130">
        <v>1603</v>
      </c>
      <c r="F64" s="257" t="str">
        <f>VLOOKUP(BD7,商業繁華性等,2)</f>
        <v>普通</v>
      </c>
      <c r="G64" s="258">
        <f>BD7</f>
        <v>4</v>
      </c>
      <c r="H64" s="259">
        <f>VLOOKUP(BD7,商業繁華性等,3)/100+1</f>
        <v>1</v>
      </c>
      <c r="I64" s="260" t="str">
        <f>VLOOKUP(BD3,商業繁華性等,2)</f>
        <v>普通</v>
      </c>
      <c r="J64" s="258">
        <f>BD3</f>
        <v>4</v>
      </c>
      <c r="K64" s="261">
        <f>VLOOKUP(BD3,商業繁華性等,3)/100+1</f>
        <v>1</v>
      </c>
      <c r="L64" s="211">
        <f t="shared" si="1"/>
        <v>1</v>
      </c>
    </row>
    <row r="65" spans="3:12" ht="16.5" customHeight="1">
      <c r="C65" s="2002"/>
      <c r="D65" s="136" t="str">
        <f>'比準表入力'!F163</f>
        <v>居住快適性等</v>
      </c>
      <c r="E65" s="137">
        <v>1613</v>
      </c>
      <c r="F65" s="257" t="str">
        <f>VLOOKUP(BE7,居住快適性等,2)</f>
        <v>普通</v>
      </c>
      <c r="G65" s="258">
        <f>BE7</f>
        <v>4</v>
      </c>
      <c r="H65" s="259">
        <f>VLOOKUP(BE7,居住快適性等,3)/100+1</f>
        <v>1</v>
      </c>
      <c r="I65" s="260" t="str">
        <f>VLOOKUP(BE3,居住快適性等,2)</f>
        <v>やや劣る</v>
      </c>
      <c r="J65" s="258">
        <f>BE3</f>
        <v>5</v>
      </c>
      <c r="K65" s="261">
        <f>VLOOKUP(BE3,居住快適性等,3)/100+1</f>
        <v>0.975</v>
      </c>
      <c r="L65" s="253">
        <f t="shared" si="1"/>
        <v>0.975</v>
      </c>
    </row>
    <row r="66" spans="3:12" ht="16.5" customHeight="1" thickBot="1">
      <c r="C66" s="2018"/>
      <c r="D66" s="262" t="str">
        <f>'比準表入力'!K163</f>
        <v>用途的展開性等</v>
      </c>
      <c r="E66" s="263">
        <v>1623</v>
      </c>
      <c r="F66" s="264" t="str">
        <f>VLOOKUP(BF7,用途的多様性等,2)</f>
        <v>普通</v>
      </c>
      <c r="G66" s="265">
        <f>BF7</f>
        <v>4</v>
      </c>
      <c r="H66" s="266">
        <f>VLOOKUP(BF7,用途的多様性等,3)/100+1</f>
        <v>1</v>
      </c>
      <c r="I66" s="267" t="str">
        <f>VLOOKUP(BF3,用途的多様性等,2)</f>
        <v>やや劣る</v>
      </c>
      <c r="J66" s="265">
        <f>BF3</f>
        <v>5</v>
      </c>
      <c r="K66" s="268">
        <f>VLOOKUP(BF3,用途的多様性等,3)/100+1</f>
        <v>0.975</v>
      </c>
      <c r="L66" s="269">
        <f t="shared" si="1"/>
        <v>0.975</v>
      </c>
    </row>
    <row r="67" spans="3:12" ht="19.5" customHeight="1" thickBot="1" thickTop="1">
      <c r="C67" s="270" t="s">
        <v>631</v>
      </c>
      <c r="D67" s="271"/>
      <c r="E67" s="271"/>
      <c r="F67" s="272" t="s">
        <v>1</v>
      </c>
      <c r="G67" s="273"/>
      <c r="H67" s="274">
        <f>ROUND(PRODUCT(H38:H66),3)</f>
        <v>0.467</v>
      </c>
      <c r="I67" s="275" t="s">
        <v>2</v>
      </c>
      <c r="J67" s="273"/>
      <c r="K67" s="276">
        <f>ROUND(PRODUCT(K38:K66),3)</f>
        <v>0.52</v>
      </c>
      <c r="L67" s="277">
        <f>ROUND(PRODUCT(L38:L66),3)</f>
        <v>1.115</v>
      </c>
    </row>
    <row r="68" spans="3:12" ht="12" customHeight="1" thickTop="1">
      <c r="C68" s="278" t="s">
        <v>32</v>
      </c>
      <c r="D68" s="279"/>
      <c r="E68" s="280"/>
      <c r="F68" s="280"/>
      <c r="G68" s="280"/>
      <c r="H68" s="281"/>
      <c r="I68" s="280"/>
      <c r="J68" s="280"/>
      <c r="K68" s="281"/>
      <c r="L68" s="282"/>
    </row>
    <row r="69" spans="3:4" ht="12" customHeight="1">
      <c r="C69" s="283" t="s">
        <v>33</v>
      </c>
      <c r="D69" s="283"/>
    </row>
    <row r="70" spans="3:4" ht="12" customHeight="1">
      <c r="C70" s="283" t="s">
        <v>445</v>
      </c>
      <c r="D70" s="283"/>
    </row>
    <row r="73" spans="1:13" ht="13.5">
      <c r="A73" s="284" t="s">
        <v>243</v>
      </c>
      <c r="B73" s="284"/>
      <c r="C73" s="284" t="s">
        <v>285</v>
      </c>
      <c r="D73" s="284"/>
      <c r="E73" s="284" t="s">
        <v>285</v>
      </c>
      <c r="F73" s="285"/>
      <c r="G73" s="284" t="s">
        <v>175</v>
      </c>
      <c r="H73" s="284"/>
      <c r="I73" s="284"/>
      <c r="J73" s="284"/>
      <c r="K73" s="286"/>
      <c r="L73" s="286"/>
      <c r="M73" s="286"/>
    </row>
    <row r="74" spans="1:15" ht="13.5">
      <c r="A74" s="287" t="s">
        <v>176</v>
      </c>
      <c r="B74" s="287" t="s">
        <v>252</v>
      </c>
      <c r="C74" s="287" t="s">
        <v>253</v>
      </c>
      <c r="D74" s="287" t="s">
        <v>449</v>
      </c>
      <c r="E74" s="287" t="s">
        <v>450</v>
      </c>
      <c r="F74" s="287" t="s">
        <v>255</v>
      </c>
      <c r="G74" s="288" t="s">
        <v>256</v>
      </c>
      <c r="H74" s="287" t="s">
        <v>257</v>
      </c>
      <c r="I74" s="287" t="s">
        <v>140</v>
      </c>
      <c r="J74" s="287" t="s">
        <v>34</v>
      </c>
      <c r="K74" s="287" t="s">
        <v>142</v>
      </c>
      <c r="L74" s="287" t="s">
        <v>159</v>
      </c>
      <c r="M74" s="287" t="s">
        <v>160</v>
      </c>
      <c r="N74" s="289" t="s">
        <v>49</v>
      </c>
      <c r="O74" s="290" t="s">
        <v>35</v>
      </c>
    </row>
    <row r="75" spans="1:15" ht="13.5">
      <c r="A75" s="287">
        <f>A3</f>
        <v>11</v>
      </c>
      <c r="B75" s="291">
        <f>IF(P3&lt;4,4,P3)</f>
        <v>4</v>
      </c>
      <c r="C75" s="287">
        <f>AV3</f>
        <v>14</v>
      </c>
      <c r="D75" s="287">
        <f>ROUND(IF(C75=0,B75*0.6,IF(OR(C75=4,C75=5),B75*0.6,B75*0.4))*100,0)</f>
        <v>160</v>
      </c>
      <c r="E75" s="287">
        <f>AW3</f>
        <v>200</v>
      </c>
      <c r="F75" s="289">
        <f>MIN(D75:E75)</f>
        <v>160</v>
      </c>
      <c r="G75" s="287">
        <f>AX3</f>
        <v>60</v>
      </c>
      <c r="H75" s="287">
        <f>X3</f>
        <v>1</v>
      </c>
      <c r="I75" s="287">
        <f>AY3</f>
        <v>2</v>
      </c>
      <c r="J75" s="291">
        <f>P3</f>
        <v>3.5</v>
      </c>
      <c r="K75" s="287">
        <f>IF(OR(H75=1,H75=3,H75=4,H75=5),10,0)</f>
        <v>10</v>
      </c>
      <c r="L75" s="287">
        <f>IF(AND(C75=4,I75=1),0,IF(AND(C75=5,I75=1),0,IF(I75=1,10,0)))</f>
        <v>0</v>
      </c>
      <c r="M75" s="287">
        <f>IF(J75&gt;=20,10,0)</f>
        <v>0</v>
      </c>
      <c r="N75" s="289">
        <f>G75+K75+L75+M75</f>
        <v>70</v>
      </c>
      <c r="O75" s="287">
        <f>IF(N75&gt;=100,100,IF(AND(C75=4,I75=1),100,IF(AND(C75=5,I75=1),100,N75)))</f>
        <v>70</v>
      </c>
    </row>
    <row r="76" spans="1:15" ht="13.5">
      <c r="A76" s="287">
        <f>A7</f>
        <v>1</v>
      </c>
      <c r="B76" s="291">
        <f>IF(P7&lt;4,4,P7)</f>
        <v>5.5</v>
      </c>
      <c r="C76" s="287">
        <f>AV7</f>
        <v>16</v>
      </c>
      <c r="D76" s="287">
        <f>ROUND(IF(C76=0,B76*0.6,IF(OR(C76=4,C76=5),B76*0.6,B76*0.4))*100,0)</f>
        <v>220</v>
      </c>
      <c r="E76" s="287">
        <f>AW7</f>
        <v>200</v>
      </c>
      <c r="F76" s="289">
        <f>MIN(D76:E76)</f>
        <v>200</v>
      </c>
      <c r="G76" s="287">
        <f>AX7</f>
        <v>60</v>
      </c>
      <c r="H76" s="287">
        <f>X7</f>
        <v>6</v>
      </c>
      <c r="I76" s="287">
        <f>AY7</f>
        <v>2</v>
      </c>
      <c r="J76" s="291">
        <f>P7</f>
        <v>5.5</v>
      </c>
      <c r="K76" s="287">
        <f>IF(OR(H76=1,H76=3,H76=4,H76=5),10,0)</f>
        <v>0</v>
      </c>
      <c r="L76" s="287">
        <f>IF(AND(C76=4,I76=1),0,IF(AND(C76=5,I76=1),0,IF(I76=1,10,0)))</f>
        <v>0</v>
      </c>
      <c r="M76" s="287">
        <f>IF(J76&gt;=20,10,0)</f>
        <v>0</v>
      </c>
      <c r="N76" s="289">
        <f>G76+K76+L76+M76</f>
        <v>60</v>
      </c>
      <c r="O76" s="287">
        <f>IF(N76&gt;=100,100,IF(AND(C76=4,I76=1),100,IF(AND(C76=5,I76=1),100,N76)))</f>
        <v>60</v>
      </c>
    </row>
    <row r="79" spans="1:2" ht="13.5">
      <c r="A79" s="292" t="s">
        <v>233</v>
      </c>
      <c r="B79" s="292">
        <f>C15</f>
        <v>0</v>
      </c>
    </row>
    <row r="80" spans="1:2" ht="13.5">
      <c r="A80" s="293" t="s">
        <v>125</v>
      </c>
      <c r="B80" s="294">
        <f>'評価書作成'!F13</f>
        <v>36250</v>
      </c>
    </row>
    <row r="81" spans="1:2" ht="13.5">
      <c r="A81" s="293" t="s">
        <v>249</v>
      </c>
      <c r="B81" s="287">
        <f>'評価書作成'!B86</f>
        <v>90</v>
      </c>
    </row>
    <row r="82" spans="1:2" ht="13.5">
      <c r="A82" s="293" t="s">
        <v>318</v>
      </c>
      <c r="B82" s="287">
        <f>IF(H3=0,1,IF(H3=" ",1,B80-H3))</f>
        <v>31</v>
      </c>
    </row>
    <row r="83" spans="1:2" ht="13.5">
      <c r="A83" s="293" t="s">
        <v>143</v>
      </c>
      <c r="B83" s="293">
        <f>IF(B82&lt;=B81,1+B88/B81*B82,(1+B88)*(1+B89/365*(B82-B81)))</f>
        <v>0.9914922222222222</v>
      </c>
    </row>
    <row r="84" spans="1:2" ht="13.5">
      <c r="A84" s="293" t="s">
        <v>250</v>
      </c>
      <c r="B84" s="293">
        <f>(1+B88)*(1+B89)*(1+B90/365*(B82-B81-365))</f>
        <v>0.9644407693150684</v>
      </c>
    </row>
    <row r="85" spans="1:2" ht="13.5">
      <c r="A85" s="293" t="s">
        <v>251</v>
      </c>
      <c r="B85" s="293">
        <f>(1+B88)*(1+B89)*(1+B90)*(1+B91/365*(B82-B81-730))</f>
        <v>0.9246896923191781</v>
      </c>
    </row>
    <row r="86" spans="1:2" ht="13.5">
      <c r="A86" s="293" t="s">
        <v>345</v>
      </c>
      <c r="B86" s="295">
        <f>ROUND(IF(B82&lt;=(B81+365),B83,IF(B82&lt;=(B81+730),B84,B85)),4)</f>
        <v>0.9915</v>
      </c>
    </row>
    <row r="87" spans="1:2" ht="13.5">
      <c r="A87" s="296" t="s">
        <v>825</v>
      </c>
      <c r="B87" s="296"/>
    </row>
    <row r="88" spans="1:2" ht="13.5">
      <c r="A88" s="293" t="str">
        <f>'評価書作成'!A93</f>
        <v>直前公示等基準日～価格時点</v>
      </c>
      <c r="B88" s="293">
        <f>'評価書作成'!F34/100</f>
        <v>-0.024700000000000003</v>
      </c>
    </row>
    <row r="89" spans="1:2" ht="13.5">
      <c r="A89" s="293" t="str">
        <f>'評価書作成'!A94</f>
        <v>直前公示等基準日の前１年間</v>
      </c>
      <c r="B89" s="293">
        <f>'評価書作成'!F35/100</f>
        <v>-0.1</v>
      </c>
    </row>
    <row r="90" spans="1:2" ht="13.5">
      <c r="A90" s="293" t="str">
        <f>'評価書作成'!A95</f>
        <v>同、前々１年間</v>
      </c>
      <c r="B90" s="293">
        <f>'評価書作成'!F36/100</f>
        <v>-0.085</v>
      </c>
    </row>
    <row r="91" spans="1:2" ht="13.5">
      <c r="A91" s="293" t="str">
        <f>'評価書作成'!A96</f>
        <v>同、前々々１年間</v>
      </c>
      <c r="B91" s="293">
        <f>'評価書作成'!F37/100</f>
        <v>-0.07</v>
      </c>
    </row>
  </sheetData>
  <sheetProtection/>
  <mergeCells count="36">
    <mergeCell ref="F33:G33"/>
    <mergeCell ref="F34:G34"/>
    <mergeCell ref="F53:H53"/>
    <mergeCell ref="I53:K53"/>
    <mergeCell ref="C59:C63"/>
    <mergeCell ref="C64:C66"/>
    <mergeCell ref="D53:D54"/>
    <mergeCell ref="E53:E54"/>
    <mergeCell ref="E47:E48"/>
    <mergeCell ref="E49:E50"/>
    <mergeCell ref="L29:L35"/>
    <mergeCell ref="C51:C58"/>
    <mergeCell ref="D47:D48"/>
    <mergeCell ref="C38:C42"/>
    <mergeCell ref="D49:D50"/>
    <mergeCell ref="C43:C50"/>
    <mergeCell ref="D43:D44"/>
    <mergeCell ref="D45:D46"/>
    <mergeCell ref="C27:C31"/>
    <mergeCell ref="C32:C35"/>
    <mergeCell ref="C13:C15"/>
    <mergeCell ref="C17:C25"/>
    <mergeCell ref="I17:I18"/>
    <mergeCell ref="F17:F18"/>
    <mergeCell ref="E15:F15"/>
    <mergeCell ref="G15:H15"/>
    <mergeCell ref="J15:K15"/>
    <mergeCell ref="E43:E44"/>
    <mergeCell ref="E45:E46"/>
    <mergeCell ref="I32:J32"/>
    <mergeCell ref="F32:G32"/>
    <mergeCell ref="I33:J33"/>
    <mergeCell ref="I34:J34"/>
    <mergeCell ref="F36:G36"/>
    <mergeCell ref="C36:E36"/>
    <mergeCell ref="I36:J36"/>
  </mergeCells>
  <printOptions/>
  <pageMargins left="1.14" right="0.2755905511811024" top="0.9448818897637796" bottom="0.57" header="0.6299212598425197" footer="0.57"/>
  <pageSetup orientation="portrait" paperSize="9" scale="75"/>
  <headerFooter alignWithMargins="0">
    <oddHeader>&amp;L&amp;"ＭＳ Ｐ明朝,斜体"&amp;10　　　　　別紙3の３&amp;C&amp;"ＭＳ 明朝,斜体"&amp;10価格形成要因の調査及び格差比準表（&amp;F）</oddHeader>
  </headerFooter>
  <drawing r:id="rId1"/>
</worksheet>
</file>

<file path=xl/worksheets/sheet5.xml><?xml version="1.0" encoding="utf-8"?>
<worksheet xmlns="http://schemas.openxmlformats.org/spreadsheetml/2006/main" xmlns:r="http://schemas.openxmlformats.org/officeDocument/2006/relationships">
  <sheetPr codeName="Sheet9"/>
  <dimension ref="A1:J43"/>
  <sheetViews>
    <sheetView workbookViewId="0" topLeftCell="A1">
      <selection activeCell="F9" sqref="F9"/>
    </sheetView>
  </sheetViews>
  <sheetFormatPr defaultColWidth="11" defaultRowHeight="15"/>
  <sheetData>
    <row r="1" spans="1:3" ht="18.75" thickBot="1">
      <c r="A1" s="16" t="s">
        <v>326</v>
      </c>
      <c r="B1" s="16"/>
      <c r="C1" s="24" t="s">
        <v>995</v>
      </c>
    </row>
    <row r="2" spans="1:5" ht="18.75" thickTop="1">
      <c r="A2" s="22" t="s">
        <v>393</v>
      </c>
      <c r="B2" s="23" t="s">
        <v>694</v>
      </c>
      <c r="C2" s="39" t="s">
        <v>328</v>
      </c>
      <c r="D2" s="23" t="s">
        <v>695</v>
      </c>
      <c r="E2" s="25" t="s">
        <v>696</v>
      </c>
    </row>
    <row r="3" spans="1:5" ht="18">
      <c r="A3" s="26" t="s">
        <v>510</v>
      </c>
      <c r="B3" s="17">
        <f>100+'比準表入力'!C89</f>
        <v>100</v>
      </c>
      <c r="C3" s="38">
        <f>100+'比準表入力'!H89</f>
        <v>100</v>
      </c>
      <c r="D3" s="33">
        <f>100+'比準表入力'!M89</f>
        <v>100</v>
      </c>
      <c r="E3" s="40">
        <f>100+'比準表入力'!C101</f>
        <v>100</v>
      </c>
    </row>
    <row r="4" spans="1:5" ht="18">
      <c r="A4" s="26" t="s">
        <v>511</v>
      </c>
      <c r="B4" s="17">
        <f>100+'比準表入力'!C90</f>
        <v>80</v>
      </c>
      <c r="C4" s="38">
        <f>100+'比準表入力'!H90</f>
        <v>90</v>
      </c>
      <c r="D4" s="33">
        <f>100+'比準表入力'!M90</f>
        <v>90</v>
      </c>
      <c r="E4" s="40">
        <f>100+'比準表入力'!C102</f>
        <v>70</v>
      </c>
    </row>
    <row r="5" spans="1:5" ht="18">
      <c r="A5" s="26" t="s">
        <v>512</v>
      </c>
      <c r="B5" s="17">
        <f>100+'比準表入力'!C91</f>
        <v>70</v>
      </c>
      <c r="C5" s="38">
        <f>100+'比準表入力'!H91</f>
        <v>85</v>
      </c>
      <c r="D5" s="33">
        <f>100+'比準表入力'!M91</f>
        <v>85</v>
      </c>
      <c r="E5" s="40">
        <f>100+'比準表入力'!C103</f>
        <v>55</v>
      </c>
    </row>
    <row r="6" spans="1:5" ht="18">
      <c r="A6" s="26" t="s">
        <v>513</v>
      </c>
      <c r="B6" s="17">
        <f>100+'比準表入力'!C92</f>
        <v>65</v>
      </c>
      <c r="C6" s="38">
        <f>100+'比準表入力'!H92</f>
        <v>80</v>
      </c>
      <c r="D6" s="33">
        <f>100+'比準表入力'!M92</f>
        <v>80</v>
      </c>
      <c r="E6" s="40">
        <f>100+'比準表入力'!C104</f>
        <v>45</v>
      </c>
    </row>
    <row r="7" spans="1:5" ht="18">
      <c r="A7" s="26" t="s">
        <v>390</v>
      </c>
      <c r="B7" s="17">
        <f>100+'比準表入力'!C93</f>
        <v>60</v>
      </c>
      <c r="C7" s="38">
        <f>100+'比準表入力'!H93</f>
        <v>75</v>
      </c>
      <c r="D7" s="33">
        <f>100+'比準表入力'!M93</f>
        <v>75</v>
      </c>
      <c r="E7" s="40">
        <f>100+'比準表入力'!C105</f>
        <v>40</v>
      </c>
    </row>
    <row r="8" spans="1:5" ht="18">
      <c r="A8" s="26" t="s">
        <v>816</v>
      </c>
      <c r="B8" s="17">
        <f>100+'比準表入力'!C94</f>
        <v>55</v>
      </c>
      <c r="C8" s="38">
        <f>100+'比準表入力'!H94</f>
        <v>70</v>
      </c>
      <c r="D8" s="33">
        <f>100+'比準表入力'!M94</f>
        <v>70</v>
      </c>
      <c r="E8" s="40">
        <f>100+'比準表入力'!C106</f>
        <v>35</v>
      </c>
    </row>
    <row r="9" spans="1:5" ht="18">
      <c r="A9" s="26" t="s">
        <v>1194</v>
      </c>
      <c r="B9" s="17">
        <f>100+'比準表入力'!C95</f>
        <v>50</v>
      </c>
      <c r="C9" s="38">
        <f>100+'比準表入力'!H95</f>
        <v>65</v>
      </c>
      <c r="D9" s="33">
        <f>100+'比準表入力'!M95</f>
        <v>65</v>
      </c>
      <c r="E9" s="40">
        <f>100+'比準表入力'!C107</f>
        <v>30</v>
      </c>
    </row>
    <row r="10" spans="1:5" ht="18.75" thickBot="1">
      <c r="A10" s="41" t="s">
        <v>1195</v>
      </c>
      <c r="B10" s="17">
        <f>100+'比準表入力'!C96</f>
        <v>45</v>
      </c>
      <c r="C10" s="38">
        <f>100+'比準表入力'!H96</f>
        <v>60</v>
      </c>
      <c r="D10" s="33">
        <f>100+'比準表入力'!M96</f>
        <v>60</v>
      </c>
      <c r="E10" s="40">
        <f>100+'比準表入力'!C108</f>
        <v>25</v>
      </c>
    </row>
    <row r="11" ht="18.75" thickTop="1"/>
    <row r="36" ht="18.75" thickBot="1"/>
    <row r="37" spans="1:10" ht="13.5" customHeight="1" thickTop="1">
      <c r="A37" s="32" t="s">
        <v>1196</v>
      </c>
      <c r="F37" s="42" t="s">
        <v>1337</v>
      </c>
      <c r="G37" s="43" t="s">
        <v>694</v>
      </c>
      <c r="H37" s="43" t="s">
        <v>328</v>
      </c>
      <c r="I37" s="43" t="s">
        <v>695</v>
      </c>
      <c r="J37" s="44" t="s">
        <v>696</v>
      </c>
    </row>
    <row r="38" spans="1:10" ht="13.5" customHeight="1">
      <c r="A38" s="32" t="s">
        <v>210</v>
      </c>
      <c r="F38" s="45" t="s">
        <v>511</v>
      </c>
      <c r="G38" s="46">
        <f>'比準表入力'!A90</f>
        <v>500</v>
      </c>
      <c r="H38" s="46">
        <f>'比準表入力'!F90</f>
        <v>500</v>
      </c>
      <c r="I38" s="46">
        <f>'比準表入力'!K90</f>
        <v>500</v>
      </c>
      <c r="J38" s="47">
        <f>'比準表入力'!A102</f>
        <v>250</v>
      </c>
    </row>
    <row r="39" spans="1:10" ht="13.5" customHeight="1">
      <c r="A39" s="32" t="s">
        <v>420</v>
      </c>
      <c r="F39" s="45" t="s">
        <v>512</v>
      </c>
      <c r="G39" s="46">
        <f>'比準表入力'!A91</f>
        <v>1000</v>
      </c>
      <c r="H39" s="46">
        <f>'比準表入力'!F91</f>
        <v>1000</v>
      </c>
      <c r="I39" s="46">
        <f>'比準表入力'!K91</f>
        <v>1000</v>
      </c>
      <c r="J39" s="47">
        <f>'比準表入力'!A103</f>
        <v>500</v>
      </c>
    </row>
    <row r="40" spans="1:10" ht="13.5" customHeight="1">
      <c r="A40" s="32" t="s">
        <v>803</v>
      </c>
      <c r="F40" s="45" t="s">
        <v>513</v>
      </c>
      <c r="G40" s="46">
        <f>'比準表入力'!A92</f>
        <v>2000</v>
      </c>
      <c r="H40" s="46">
        <f>'比準表入力'!F92</f>
        <v>2000</v>
      </c>
      <c r="I40" s="46">
        <f>'比準表入力'!K92</f>
        <v>2000</v>
      </c>
      <c r="J40" s="47">
        <f>'比準表入力'!A104</f>
        <v>1000</v>
      </c>
    </row>
    <row r="41" spans="6:10" ht="13.5" customHeight="1">
      <c r="F41" s="45" t="s">
        <v>390</v>
      </c>
      <c r="G41" s="46">
        <f>'比準表入力'!A93</f>
        <v>6000</v>
      </c>
      <c r="H41" s="46">
        <f>'比準表入力'!F93</f>
        <v>4000</v>
      </c>
      <c r="I41" s="46">
        <f>'比準表入力'!K93</f>
        <v>4000</v>
      </c>
      <c r="J41" s="47">
        <f>'比準表入力'!A105</f>
        <v>2000</v>
      </c>
    </row>
    <row r="42" spans="6:10" ht="13.5" customHeight="1">
      <c r="F42" s="45" t="s">
        <v>816</v>
      </c>
      <c r="G42" s="46">
        <f>'比準表入力'!A94</f>
        <v>10000</v>
      </c>
      <c r="H42" s="46">
        <f>'比準表入力'!F94</f>
        <v>10000</v>
      </c>
      <c r="I42" s="46">
        <f>'比準表入力'!K94</f>
        <v>10000</v>
      </c>
      <c r="J42" s="47">
        <f>'比準表入力'!A106</f>
        <v>4000</v>
      </c>
    </row>
    <row r="43" spans="6:10" ht="13.5" customHeight="1" thickBot="1">
      <c r="F43" s="48" t="s">
        <v>1194</v>
      </c>
      <c r="G43" s="49">
        <f>'比準表入力'!A95</f>
        <v>20000</v>
      </c>
      <c r="H43" s="49">
        <f>'比準表入力'!F95</f>
        <v>20000</v>
      </c>
      <c r="I43" s="49">
        <f>'比準表入力'!K95</f>
        <v>20000</v>
      </c>
      <c r="J43" s="50">
        <f>'比準表入力'!A107</f>
        <v>10000</v>
      </c>
    </row>
    <row r="44" ht="18.75" thickTop="1"/>
  </sheetData>
  <sheetProtection/>
  <printOptions/>
  <pageMargins left="0.47" right="0.32" top="1.03" bottom="0.34" header="0.512" footer="0.2"/>
  <pageSetup orientation="landscape" paperSize="9" scale="90"/>
  <drawing r:id="rId1"/>
</worksheet>
</file>

<file path=xl/worksheets/sheet6.xml><?xml version="1.0" encoding="utf-8"?>
<worksheet xmlns="http://schemas.openxmlformats.org/spreadsheetml/2006/main" xmlns:r="http://schemas.openxmlformats.org/officeDocument/2006/relationships">
  <sheetPr codeName="Sheet5"/>
  <dimension ref="A1:BY18"/>
  <sheetViews>
    <sheetView workbookViewId="0" topLeftCell="A1">
      <selection activeCell="A1" sqref="A1:IV33"/>
    </sheetView>
  </sheetViews>
  <sheetFormatPr defaultColWidth="10.59765625" defaultRowHeight="15"/>
  <cols>
    <col min="1" max="54" width="10.59765625" style="20" customWidth="1"/>
    <col min="55" max="55" width="12.59765625" style="20" customWidth="1"/>
    <col min="56" max="56" width="8.59765625" style="20" customWidth="1"/>
    <col min="57" max="57" width="16.59765625" style="20" customWidth="1"/>
    <col min="58" max="58" width="8.59765625" style="27" customWidth="1"/>
    <col min="59" max="61" width="8.59765625" style="28" customWidth="1"/>
    <col min="62" max="62" width="10.59765625" style="29" customWidth="1"/>
    <col min="63" max="63" width="10.59765625" style="28" customWidth="1"/>
    <col min="64" max="65" width="10.59765625" style="29" customWidth="1"/>
    <col min="66" max="66" width="10.59765625" style="30" customWidth="1"/>
    <col min="67" max="67" width="10.59765625" style="31" customWidth="1"/>
    <col min="68" max="68" width="10.59765625" style="21" customWidth="1"/>
    <col min="69" max="69" width="10.59765625" style="31" customWidth="1"/>
    <col min="70" max="70" width="10.59765625" style="36" customWidth="1"/>
    <col min="71" max="71" width="10.59765625" style="21" customWidth="1"/>
    <col min="72" max="76" width="10.59765625" style="20" customWidth="1"/>
    <col min="77" max="77" width="10.59765625" style="21" customWidth="1"/>
    <col min="78" max="16384" width="10.59765625" style="20" customWidth="1"/>
  </cols>
  <sheetData>
    <row r="1" spans="1:77" s="1094" customFormat="1" ht="19.5" customHeight="1">
      <c r="A1" s="34" t="s">
        <v>1160</v>
      </c>
      <c r="B1" s="34"/>
      <c r="C1" s="34"/>
      <c r="D1" s="35" t="s">
        <v>1215</v>
      </c>
      <c r="E1" s="1087"/>
      <c r="F1" s="1087"/>
      <c r="G1" s="1087"/>
      <c r="H1" s="1087"/>
      <c r="I1" s="1088"/>
      <c r="J1" s="1088"/>
      <c r="K1" s="310"/>
      <c r="L1" s="310"/>
      <c r="M1" s="310"/>
      <c r="N1" s="310"/>
      <c r="O1" s="310"/>
      <c r="P1" s="310"/>
      <c r="Q1" s="310"/>
      <c r="R1" s="310"/>
      <c r="S1" s="310"/>
      <c r="T1" s="310"/>
      <c r="U1" s="310"/>
      <c r="V1" s="310"/>
      <c r="W1" s="310"/>
      <c r="X1" s="310"/>
      <c r="Y1" s="310"/>
      <c r="Z1" s="1089"/>
      <c r="AA1" s="310"/>
      <c r="AB1" s="1088"/>
      <c r="AC1" s="1088"/>
      <c r="AD1" s="310"/>
      <c r="AE1" s="1088"/>
      <c r="AF1" s="1088"/>
      <c r="AG1" s="1088"/>
      <c r="AH1" s="1088"/>
      <c r="AI1" s="1088"/>
      <c r="AJ1" s="1088"/>
      <c r="AK1" s="1088"/>
      <c r="AL1" s="310" t="s">
        <v>766</v>
      </c>
      <c r="AM1" s="310"/>
      <c r="AN1" s="310"/>
      <c r="AO1" s="310"/>
      <c r="AP1" s="310"/>
      <c r="AQ1" s="1090"/>
      <c r="AR1" s="310"/>
      <c r="AS1" s="310"/>
      <c r="AT1" s="310"/>
      <c r="AU1" s="310"/>
      <c r="AV1" s="310"/>
      <c r="AW1" s="310"/>
      <c r="AX1" s="310"/>
      <c r="AY1" s="310"/>
      <c r="AZ1" s="310"/>
      <c r="BA1" s="310"/>
      <c r="BB1" s="310"/>
      <c r="BC1" s="310"/>
      <c r="BD1" s="1088"/>
      <c r="BE1" s="1088"/>
      <c r="BF1" s="1088"/>
      <c r="BG1" s="790"/>
      <c r="BH1" s="790"/>
      <c r="BI1" s="310"/>
      <c r="BJ1" s="310"/>
      <c r="BK1" s="310"/>
      <c r="BL1" s="310" t="s">
        <v>997</v>
      </c>
      <c r="BM1" s="310"/>
      <c r="BN1" s="310"/>
      <c r="BO1" s="310"/>
      <c r="BP1" s="310"/>
      <c r="BQ1" s="310"/>
      <c r="BR1" s="1091"/>
      <c r="BS1" s="1092"/>
      <c r="BT1" s="310"/>
      <c r="BU1" s="310"/>
      <c r="BV1" s="310"/>
      <c r="BW1" s="1093"/>
      <c r="BX1" s="1093"/>
      <c r="BY1" s="1092"/>
    </row>
    <row r="2" spans="1:77" s="317" customFormat="1" ht="19.5" customHeight="1">
      <c r="A2" s="1095" t="s">
        <v>679</v>
      </c>
      <c r="B2" s="1095" t="s">
        <v>679</v>
      </c>
      <c r="C2" s="1096" t="s">
        <v>680</v>
      </c>
      <c r="D2" s="1096" t="s">
        <v>680</v>
      </c>
      <c r="E2" s="1096" t="s">
        <v>680</v>
      </c>
      <c r="F2" s="1097" t="s">
        <v>1076</v>
      </c>
      <c r="G2" s="1096" t="s">
        <v>680</v>
      </c>
      <c r="H2" s="1096" t="s">
        <v>680</v>
      </c>
      <c r="I2" s="1096" t="s">
        <v>680</v>
      </c>
      <c r="J2" s="1096" t="s">
        <v>680</v>
      </c>
      <c r="K2" s="1096" t="s">
        <v>680</v>
      </c>
      <c r="L2" s="1096" t="s">
        <v>1320</v>
      </c>
      <c r="M2" s="1096" t="s">
        <v>1272</v>
      </c>
      <c r="N2" s="1096" t="s">
        <v>1027</v>
      </c>
      <c r="O2" s="1096" t="s">
        <v>1272</v>
      </c>
      <c r="P2" s="1096" t="s">
        <v>1228</v>
      </c>
      <c r="Q2" s="1096" t="s">
        <v>1228</v>
      </c>
      <c r="R2" s="1096" t="s">
        <v>1121</v>
      </c>
      <c r="S2" s="1096" t="s">
        <v>1272</v>
      </c>
      <c r="T2" s="1096" t="s">
        <v>1229</v>
      </c>
      <c r="U2" s="1096" t="s">
        <v>669</v>
      </c>
      <c r="V2" s="1096" t="s">
        <v>1230</v>
      </c>
      <c r="W2" s="1096"/>
      <c r="X2" s="1096" t="s">
        <v>1258</v>
      </c>
      <c r="Y2" s="1098" t="s">
        <v>1190</v>
      </c>
      <c r="Z2" s="1099" t="s">
        <v>594</v>
      </c>
      <c r="AA2" s="1096" t="s">
        <v>117</v>
      </c>
      <c r="AB2" s="1096" t="s">
        <v>347</v>
      </c>
      <c r="AC2" s="1096"/>
      <c r="AD2" s="1096" t="s">
        <v>408</v>
      </c>
      <c r="AE2" s="1096" t="s">
        <v>833</v>
      </c>
      <c r="AF2" s="1095" t="s">
        <v>451</v>
      </c>
      <c r="AG2" s="1096" t="s">
        <v>1228</v>
      </c>
      <c r="AH2" s="1095" t="s">
        <v>887</v>
      </c>
      <c r="AI2" s="1096" t="s">
        <v>1228</v>
      </c>
      <c r="AJ2" s="1095" t="s">
        <v>1256</v>
      </c>
      <c r="AK2" s="1096" t="s">
        <v>1228</v>
      </c>
      <c r="AL2" s="1095" t="s">
        <v>626</v>
      </c>
      <c r="AM2" s="1096" t="s">
        <v>1228</v>
      </c>
      <c r="AN2" s="1096" t="s">
        <v>1103</v>
      </c>
      <c r="AO2" s="1096" t="s">
        <v>1103</v>
      </c>
      <c r="AP2" s="1096" t="s">
        <v>1059</v>
      </c>
      <c r="AQ2" s="1095" t="s">
        <v>571</v>
      </c>
      <c r="AR2" s="1096" t="s">
        <v>1272</v>
      </c>
      <c r="AS2" s="1096" t="s">
        <v>1272</v>
      </c>
      <c r="AT2" s="1096" t="s">
        <v>1272</v>
      </c>
      <c r="AU2" s="1096" t="s">
        <v>1288</v>
      </c>
      <c r="AV2" s="1096" t="s">
        <v>1118</v>
      </c>
      <c r="AW2" s="1096"/>
      <c r="AX2" s="1096"/>
      <c r="AY2" s="1096" t="s">
        <v>1260</v>
      </c>
      <c r="AZ2" s="1096" t="s">
        <v>1109</v>
      </c>
      <c r="BA2" s="1096" t="s">
        <v>1109</v>
      </c>
      <c r="BB2" s="1095"/>
      <c r="BC2" s="1096" t="s">
        <v>669</v>
      </c>
      <c r="BD2" s="1095" t="s">
        <v>1110</v>
      </c>
      <c r="BE2" s="1095" t="s">
        <v>1110</v>
      </c>
      <c r="BF2" s="1095" t="s">
        <v>1110</v>
      </c>
      <c r="BG2" s="1095" t="s">
        <v>1060</v>
      </c>
      <c r="BH2" s="1095" t="s">
        <v>1072</v>
      </c>
      <c r="BI2" s="310"/>
      <c r="BJ2" s="310"/>
      <c r="BK2" s="1100" t="s">
        <v>350</v>
      </c>
      <c r="BL2" s="310" t="s">
        <v>997</v>
      </c>
      <c r="BM2" s="310"/>
      <c r="BN2" s="310"/>
      <c r="BO2" s="310"/>
      <c r="BP2" s="310"/>
      <c r="BQ2" s="310"/>
      <c r="BR2" s="1091"/>
      <c r="BS2" s="1092"/>
      <c r="BT2" s="310"/>
      <c r="BU2" s="310"/>
      <c r="BV2" s="310"/>
      <c r="BW2" s="1093"/>
      <c r="BX2" s="1093"/>
      <c r="BY2" s="1092"/>
    </row>
    <row r="3" spans="1:77" s="317" customFormat="1" ht="19.5" customHeight="1">
      <c r="A3" s="1095" t="s">
        <v>593</v>
      </c>
      <c r="B3" s="1097" t="s">
        <v>750</v>
      </c>
      <c r="C3" s="1097" t="s">
        <v>950</v>
      </c>
      <c r="D3" s="1097" t="s">
        <v>491</v>
      </c>
      <c r="E3" s="1097" t="s">
        <v>1054</v>
      </c>
      <c r="F3" s="1101" t="s">
        <v>1149</v>
      </c>
      <c r="G3" s="1097" t="s">
        <v>559</v>
      </c>
      <c r="H3" s="1097" t="s">
        <v>606</v>
      </c>
      <c r="I3" s="1097" t="s">
        <v>665</v>
      </c>
      <c r="J3" s="1097" t="s">
        <v>1216</v>
      </c>
      <c r="K3" s="1097" t="s">
        <v>586</v>
      </c>
      <c r="L3" s="1097" t="s">
        <v>399</v>
      </c>
      <c r="M3" s="1097" t="s">
        <v>911</v>
      </c>
      <c r="N3" s="1097" t="s">
        <v>778</v>
      </c>
      <c r="O3" s="1097" t="s">
        <v>500</v>
      </c>
      <c r="P3" s="1097" t="s">
        <v>919</v>
      </c>
      <c r="Q3" s="1097" t="s">
        <v>1335</v>
      </c>
      <c r="R3" s="1097" t="s">
        <v>1336</v>
      </c>
      <c r="S3" s="1097" t="s">
        <v>1174</v>
      </c>
      <c r="T3" s="1097" t="s">
        <v>1175</v>
      </c>
      <c r="U3" s="1097" t="s">
        <v>1176</v>
      </c>
      <c r="V3" s="1097" t="s">
        <v>1177</v>
      </c>
      <c r="W3" s="1097" t="s">
        <v>1098</v>
      </c>
      <c r="X3" s="1097" t="s">
        <v>1099</v>
      </c>
      <c r="Y3" s="1101" t="s">
        <v>572</v>
      </c>
      <c r="Z3" s="1102" t="s">
        <v>573</v>
      </c>
      <c r="AA3" s="1097" t="s">
        <v>1104</v>
      </c>
      <c r="AB3" s="1097" t="s">
        <v>342</v>
      </c>
      <c r="AC3" s="1097" t="s">
        <v>853</v>
      </c>
      <c r="AD3" s="1097" t="s">
        <v>854</v>
      </c>
      <c r="AE3" s="1097" t="s">
        <v>834</v>
      </c>
      <c r="AF3" s="1097" t="s">
        <v>283</v>
      </c>
      <c r="AG3" s="1097" t="s">
        <v>930</v>
      </c>
      <c r="AH3" s="1097" t="s">
        <v>452</v>
      </c>
      <c r="AI3" s="1097" t="s">
        <v>521</v>
      </c>
      <c r="AJ3" s="1097" t="s">
        <v>265</v>
      </c>
      <c r="AK3" s="1097" t="s">
        <v>850</v>
      </c>
      <c r="AL3" s="1097" t="s">
        <v>851</v>
      </c>
      <c r="AM3" s="1097" t="s">
        <v>852</v>
      </c>
      <c r="AN3" s="1097" t="s">
        <v>549</v>
      </c>
      <c r="AO3" s="1097" t="s">
        <v>550</v>
      </c>
      <c r="AP3" s="1097" t="s">
        <v>934</v>
      </c>
      <c r="AQ3" s="1095" t="s">
        <v>319</v>
      </c>
      <c r="AR3" s="1097" t="s">
        <v>986</v>
      </c>
      <c r="AS3" s="1097" t="s">
        <v>618</v>
      </c>
      <c r="AT3" s="1097" t="s">
        <v>619</v>
      </c>
      <c r="AU3" s="1097" t="s">
        <v>715</v>
      </c>
      <c r="AV3" s="1097" t="s">
        <v>835</v>
      </c>
      <c r="AW3" s="1097" t="s">
        <v>369</v>
      </c>
      <c r="AX3" s="1097" t="s">
        <v>1134</v>
      </c>
      <c r="AY3" s="1097" t="s">
        <v>1135</v>
      </c>
      <c r="AZ3" s="1097" t="s">
        <v>1179</v>
      </c>
      <c r="BA3" s="1097" t="s">
        <v>1062</v>
      </c>
      <c r="BB3" s="1097" t="s">
        <v>931</v>
      </c>
      <c r="BC3" s="1097" t="s">
        <v>1161</v>
      </c>
      <c r="BD3" s="1095" t="s">
        <v>1025</v>
      </c>
      <c r="BE3" s="1095" t="s">
        <v>1034</v>
      </c>
      <c r="BF3" s="1095" t="s">
        <v>294</v>
      </c>
      <c r="BG3" s="1095" t="s">
        <v>804</v>
      </c>
      <c r="BH3" s="1095" t="s">
        <v>266</v>
      </c>
      <c r="BI3" s="310"/>
      <c r="BJ3" s="310"/>
      <c r="BK3" s="311" t="s">
        <v>593</v>
      </c>
      <c r="BL3" s="311" t="s">
        <v>750</v>
      </c>
      <c r="BM3" s="311" t="s">
        <v>950</v>
      </c>
      <c r="BN3" s="311" t="s">
        <v>491</v>
      </c>
      <c r="BO3" s="311" t="s">
        <v>644</v>
      </c>
      <c r="BP3" s="311" t="s">
        <v>399</v>
      </c>
      <c r="BQ3" s="311" t="s">
        <v>559</v>
      </c>
      <c r="BR3" s="312" t="s">
        <v>606</v>
      </c>
      <c r="BS3" s="313" t="s">
        <v>665</v>
      </c>
      <c r="BT3" s="311" t="s">
        <v>586</v>
      </c>
      <c r="BU3" s="314" t="s">
        <v>793</v>
      </c>
      <c r="BV3" s="315" t="s">
        <v>602</v>
      </c>
      <c r="BW3" s="315" t="s">
        <v>603</v>
      </c>
      <c r="BX3" s="315" t="s">
        <v>604</v>
      </c>
      <c r="BY3" s="316" t="s">
        <v>1040</v>
      </c>
    </row>
    <row r="4" spans="1:77" s="340" customFormat="1" ht="19.5" customHeight="1">
      <c r="A4" s="315">
        <v>1</v>
      </c>
      <c r="B4" s="318" t="s">
        <v>295</v>
      </c>
      <c r="C4" s="319">
        <v>1</v>
      </c>
      <c r="D4" s="320" t="s">
        <v>15</v>
      </c>
      <c r="E4" s="319" t="s">
        <v>1091</v>
      </c>
      <c r="F4" s="319">
        <v>1</v>
      </c>
      <c r="G4" s="321">
        <v>255.69</v>
      </c>
      <c r="H4" s="322"/>
      <c r="I4" s="323"/>
      <c r="J4" s="324"/>
      <c r="K4" s="325"/>
      <c r="L4" s="319" t="s">
        <v>212</v>
      </c>
      <c r="M4" s="319">
        <v>31</v>
      </c>
      <c r="N4" s="319">
        <v>4</v>
      </c>
      <c r="O4" s="319">
        <v>2</v>
      </c>
      <c r="P4" s="326">
        <v>5.5</v>
      </c>
      <c r="Q4" s="326">
        <v>0</v>
      </c>
      <c r="R4" s="319">
        <v>0</v>
      </c>
      <c r="S4" s="319">
        <v>1</v>
      </c>
      <c r="T4" s="319"/>
      <c r="U4" s="327">
        <v>0</v>
      </c>
      <c r="V4" s="319"/>
      <c r="W4" s="327">
        <v>0</v>
      </c>
      <c r="X4" s="319">
        <v>6</v>
      </c>
      <c r="Y4" s="328" t="s">
        <v>574</v>
      </c>
      <c r="Z4" s="329">
        <v>1</v>
      </c>
      <c r="AA4" s="330">
        <v>0</v>
      </c>
      <c r="AB4" s="326">
        <v>9.8</v>
      </c>
      <c r="AC4" s="326">
        <v>22.8</v>
      </c>
      <c r="AD4" s="319">
        <v>2</v>
      </c>
      <c r="AE4" s="331">
        <v>1</v>
      </c>
      <c r="AF4" s="332" t="s">
        <v>118</v>
      </c>
      <c r="AG4" s="333">
        <v>5300</v>
      </c>
      <c r="AH4" s="334" t="s">
        <v>1092</v>
      </c>
      <c r="AI4" s="333">
        <v>1300</v>
      </c>
      <c r="AJ4" s="334" t="s">
        <v>1093</v>
      </c>
      <c r="AK4" s="333">
        <v>700</v>
      </c>
      <c r="AL4" s="334" t="s">
        <v>119</v>
      </c>
      <c r="AM4" s="333">
        <v>0</v>
      </c>
      <c r="AN4" s="318">
        <v>0</v>
      </c>
      <c r="AO4" s="318">
        <v>0</v>
      </c>
      <c r="AP4" s="320" t="s">
        <v>120</v>
      </c>
      <c r="AQ4" s="335">
        <v>4</v>
      </c>
      <c r="AR4" s="319">
        <v>1</v>
      </c>
      <c r="AS4" s="319">
        <v>1</v>
      </c>
      <c r="AT4" s="319">
        <v>1</v>
      </c>
      <c r="AU4" s="319">
        <v>1</v>
      </c>
      <c r="AV4" s="319">
        <v>16</v>
      </c>
      <c r="AW4" s="319">
        <v>200</v>
      </c>
      <c r="AX4" s="319">
        <v>60</v>
      </c>
      <c r="AY4" s="319">
        <v>2</v>
      </c>
      <c r="AZ4" s="336">
        <v>1</v>
      </c>
      <c r="BA4" s="336">
        <v>1</v>
      </c>
      <c r="BB4" s="337" t="s">
        <v>1085</v>
      </c>
      <c r="BC4" s="338">
        <v>0</v>
      </c>
      <c r="BD4" s="337">
        <v>4</v>
      </c>
      <c r="BE4" s="337">
        <v>4</v>
      </c>
      <c r="BF4" s="337">
        <v>4</v>
      </c>
      <c r="BG4" s="339" t="s">
        <v>669</v>
      </c>
      <c r="BH4" s="339"/>
      <c r="BK4" s="337">
        <v>1</v>
      </c>
      <c r="BL4" s="337" t="s">
        <v>295</v>
      </c>
      <c r="BM4" s="337">
        <v>1</v>
      </c>
      <c r="BN4" s="341" t="s">
        <v>15</v>
      </c>
      <c r="BO4" s="337" t="s">
        <v>1091</v>
      </c>
      <c r="BP4" s="337" t="s">
        <v>212</v>
      </c>
      <c r="BQ4" s="341">
        <v>255.69</v>
      </c>
      <c r="BR4" s="342">
        <v>0</v>
      </c>
      <c r="BS4" s="343">
        <v>0</v>
      </c>
      <c r="BT4" s="337">
        <v>0</v>
      </c>
      <c r="BU4" s="337">
        <v>0.9997</v>
      </c>
      <c r="BV4" s="337">
        <v>1.02</v>
      </c>
      <c r="BW4" s="341">
        <v>1.02</v>
      </c>
      <c r="BX4" s="341">
        <v>1</v>
      </c>
      <c r="BY4" s="343" t="s">
        <v>997</v>
      </c>
    </row>
    <row r="5" spans="1:77" ht="19.5" customHeight="1">
      <c r="A5" s="1103">
        <v>6</v>
      </c>
      <c r="B5" s="1103" t="s">
        <v>17</v>
      </c>
      <c r="C5" s="1104" t="s">
        <v>19</v>
      </c>
      <c r="D5" s="1105" t="s">
        <v>21</v>
      </c>
      <c r="E5" s="1104" t="s">
        <v>1091</v>
      </c>
      <c r="F5" s="1104">
        <v>1</v>
      </c>
      <c r="G5" s="1106">
        <v>225</v>
      </c>
      <c r="H5" s="1107">
        <v>36160</v>
      </c>
      <c r="I5" s="1108">
        <v>120000</v>
      </c>
      <c r="J5" s="1104">
        <v>0</v>
      </c>
      <c r="K5" s="1104">
        <v>100</v>
      </c>
      <c r="L5" s="1104" t="s">
        <v>212</v>
      </c>
      <c r="M5" s="1104">
        <v>31</v>
      </c>
      <c r="N5" s="1104">
        <v>2</v>
      </c>
      <c r="O5" s="1104">
        <v>4</v>
      </c>
      <c r="P5" s="1109">
        <v>5.5</v>
      </c>
      <c r="Q5" s="1110">
        <v>0</v>
      </c>
      <c r="R5" s="1104">
        <v>0</v>
      </c>
      <c r="S5" s="1104">
        <v>1</v>
      </c>
      <c r="T5" s="1104"/>
      <c r="U5" s="1111">
        <v>0</v>
      </c>
      <c r="V5" s="1104"/>
      <c r="W5" s="1111">
        <v>0</v>
      </c>
      <c r="X5" s="1104">
        <v>6</v>
      </c>
      <c r="Y5" s="1112" t="s">
        <v>574</v>
      </c>
      <c r="Z5" s="1113">
        <v>1</v>
      </c>
      <c r="AA5" s="1114">
        <v>0</v>
      </c>
      <c r="AB5" s="1110">
        <v>12.5</v>
      </c>
      <c r="AC5" s="1110">
        <v>19.5</v>
      </c>
      <c r="AD5" s="1104">
        <v>2</v>
      </c>
      <c r="AE5" s="1115">
        <v>1</v>
      </c>
      <c r="AF5" s="332" t="s">
        <v>118</v>
      </c>
      <c r="AG5" s="1116">
        <v>5500</v>
      </c>
      <c r="AH5" s="1116" t="s">
        <v>1094</v>
      </c>
      <c r="AI5" s="1116">
        <v>1300</v>
      </c>
      <c r="AJ5" s="1116" t="s">
        <v>1093</v>
      </c>
      <c r="AK5" s="1116">
        <v>300</v>
      </c>
      <c r="AL5" s="334" t="s">
        <v>119</v>
      </c>
      <c r="AM5" s="333">
        <v>0</v>
      </c>
      <c r="AN5" s="1104">
        <v>0</v>
      </c>
      <c r="AO5" s="1104">
        <v>0</v>
      </c>
      <c r="AP5" s="1105" t="s">
        <v>1095</v>
      </c>
      <c r="AQ5" s="1103">
        <v>4</v>
      </c>
      <c r="AR5" s="1104">
        <v>1</v>
      </c>
      <c r="AS5" s="1104">
        <v>1</v>
      </c>
      <c r="AT5" s="1104">
        <v>1</v>
      </c>
      <c r="AU5" s="1104">
        <v>1</v>
      </c>
      <c r="AV5" s="1103">
        <v>14</v>
      </c>
      <c r="AW5" s="1104">
        <v>200</v>
      </c>
      <c r="AX5" s="1104">
        <v>60</v>
      </c>
      <c r="AY5" s="1104">
        <v>2</v>
      </c>
      <c r="AZ5" s="1104">
        <v>1</v>
      </c>
      <c r="BA5" s="1104">
        <v>1</v>
      </c>
      <c r="BB5" s="1103" t="s">
        <v>1085</v>
      </c>
      <c r="BC5" s="1117">
        <v>0</v>
      </c>
      <c r="BD5" s="1103">
        <v>4</v>
      </c>
      <c r="BE5" s="1103">
        <v>3</v>
      </c>
      <c r="BF5" s="1103">
        <v>4</v>
      </c>
      <c r="BG5" s="1118"/>
      <c r="BH5" s="1118"/>
      <c r="BI5" s="20"/>
      <c r="BJ5" s="20"/>
      <c r="BK5" s="1119">
        <v>6</v>
      </c>
      <c r="BL5" s="1119" t="s">
        <v>17</v>
      </c>
      <c r="BM5" s="1119" t="s">
        <v>19</v>
      </c>
      <c r="BN5" s="1120" t="s">
        <v>21</v>
      </c>
      <c r="BO5" s="1119" t="s">
        <v>1091</v>
      </c>
      <c r="BP5" s="1119" t="s">
        <v>212</v>
      </c>
      <c r="BQ5" s="1120">
        <v>225</v>
      </c>
      <c r="BR5" s="1121">
        <v>36160</v>
      </c>
      <c r="BS5" s="1122">
        <v>120000</v>
      </c>
      <c r="BT5" s="1119">
        <v>100</v>
      </c>
      <c r="BU5" s="1119">
        <v>0.9753</v>
      </c>
      <c r="BV5" s="1119">
        <v>1.02</v>
      </c>
      <c r="BW5" s="1120">
        <v>1</v>
      </c>
      <c r="BX5" s="1120">
        <v>1.21</v>
      </c>
      <c r="BY5" s="1122">
        <v>98700</v>
      </c>
    </row>
    <row r="6" spans="1:77" s="340" customFormat="1" ht="19.5" customHeight="1">
      <c r="A6" s="315">
        <v>8</v>
      </c>
      <c r="B6" s="315" t="s">
        <v>1113</v>
      </c>
      <c r="C6" s="337">
        <v>1</v>
      </c>
      <c r="D6" s="341" t="s">
        <v>1096</v>
      </c>
      <c r="E6" s="337" t="s">
        <v>1091</v>
      </c>
      <c r="F6" s="337">
        <v>1</v>
      </c>
      <c r="G6" s="1123">
        <v>240</v>
      </c>
      <c r="H6" s="342">
        <v>36118</v>
      </c>
      <c r="I6" s="1124">
        <v>113000</v>
      </c>
      <c r="J6" s="337">
        <v>0</v>
      </c>
      <c r="K6" s="337">
        <v>100</v>
      </c>
      <c r="L6" s="337" t="s">
        <v>212</v>
      </c>
      <c r="M6" s="337">
        <v>31</v>
      </c>
      <c r="N6" s="337">
        <v>2</v>
      </c>
      <c r="O6" s="337">
        <v>2</v>
      </c>
      <c r="P6" s="1125">
        <v>5.5</v>
      </c>
      <c r="Q6" s="1125">
        <v>0</v>
      </c>
      <c r="R6" s="319">
        <v>0</v>
      </c>
      <c r="S6" s="319">
        <v>1</v>
      </c>
      <c r="T6" s="337"/>
      <c r="U6" s="327">
        <v>0</v>
      </c>
      <c r="V6" s="337"/>
      <c r="W6" s="327">
        <v>0</v>
      </c>
      <c r="X6" s="319">
        <v>6</v>
      </c>
      <c r="Y6" s="328" t="s">
        <v>574</v>
      </c>
      <c r="Z6" s="329">
        <v>1</v>
      </c>
      <c r="AA6" s="330">
        <v>0</v>
      </c>
      <c r="AB6" s="1125">
        <v>6.5</v>
      </c>
      <c r="AC6" s="1125">
        <v>19</v>
      </c>
      <c r="AD6" s="319">
        <v>2</v>
      </c>
      <c r="AE6" s="331">
        <v>1</v>
      </c>
      <c r="AF6" s="332" t="s">
        <v>118</v>
      </c>
      <c r="AG6" s="1126">
        <v>5100</v>
      </c>
      <c r="AH6" s="334" t="s">
        <v>1094</v>
      </c>
      <c r="AI6" s="1126">
        <v>1500</v>
      </c>
      <c r="AJ6" s="334" t="s">
        <v>1093</v>
      </c>
      <c r="AK6" s="1126">
        <v>500</v>
      </c>
      <c r="AL6" s="334" t="s">
        <v>119</v>
      </c>
      <c r="AM6" s="333">
        <v>0</v>
      </c>
      <c r="AN6" s="318">
        <v>0</v>
      </c>
      <c r="AO6" s="318">
        <v>0</v>
      </c>
      <c r="AP6" s="332" t="s">
        <v>57</v>
      </c>
      <c r="AQ6" s="335">
        <v>4</v>
      </c>
      <c r="AR6" s="337">
        <v>1</v>
      </c>
      <c r="AS6" s="337">
        <v>1</v>
      </c>
      <c r="AT6" s="337">
        <v>1</v>
      </c>
      <c r="AU6" s="337">
        <v>1</v>
      </c>
      <c r="AV6" s="337">
        <v>14</v>
      </c>
      <c r="AW6" s="337">
        <v>200</v>
      </c>
      <c r="AX6" s="337">
        <v>60</v>
      </c>
      <c r="AY6" s="337">
        <v>2</v>
      </c>
      <c r="AZ6" s="336">
        <v>1</v>
      </c>
      <c r="BA6" s="336">
        <v>1</v>
      </c>
      <c r="BB6" s="1119" t="s">
        <v>1085</v>
      </c>
      <c r="BC6" s="338">
        <v>0</v>
      </c>
      <c r="BD6" s="337">
        <v>4</v>
      </c>
      <c r="BE6" s="337">
        <v>4</v>
      </c>
      <c r="BF6" s="337">
        <v>4</v>
      </c>
      <c r="BG6" s="339" t="s">
        <v>669</v>
      </c>
      <c r="BH6" s="1127" t="s">
        <v>1097</v>
      </c>
      <c r="BK6" s="337">
        <v>8</v>
      </c>
      <c r="BL6" s="337" t="s">
        <v>1113</v>
      </c>
      <c r="BM6" s="337">
        <v>1</v>
      </c>
      <c r="BN6" s="341" t="s">
        <v>1096</v>
      </c>
      <c r="BO6" s="337" t="s">
        <v>1091</v>
      </c>
      <c r="BP6" s="337" t="s">
        <v>212</v>
      </c>
      <c r="BQ6" s="341">
        <v>240</v>
      </c>
      <c r="BR6" s="342">
        <v>36118</v>
      </c>
      <c r="BS6" s="343">
        <v>113000</v>
      </c>
      <c r="BT6" s="337">
        <v>100</v>
      </c>
      <c r="BU6" s="337">
        <v>0.9641</v>
      </c>
      <c r="BV6" s="337">
        <v>1.02</v>
      </c>
      <c r="BW6" s="341">
        <v>0.971</v>
      </c>
      <c r="BX6" s="341">
        <v>1.126</v>
      </c>
      <c r="BY6" s="343">
        <v>101600</v>
      </c>
    </row>
    <row r="7" spans="1:77" s="340" customFormat="1" ht="19.5" customHeight="1">
      <c r="A7" s="315">
        <v>9</v>
      </c>
      <c r="B7" s="315" t="s">
        <v>1113</v>
      </c>
      <c r="C7" s="337">
        <v>2</v>
      </c>
      <c r="D7" s="341" t="s">
        <v>1202</v>
      </c>
      <c r="E7" s="337" t="s">
        <v>1091</v>
      </c>
      <c r="F7" s="337">
        <v>1</v>
      </c>
      <c r="G7" s="1123">
        <v>185</v>
      </c>
      <c r="H7" s="342">
        <v>35987</v>
      </c>
      <c r="I7" s="1124">
        <v>114000</v>
      </c>
      <c r="J7" s="337">
        <v>0</v>
      </c>
      <c r="K7" s="337">
        <v>100</v>
      </c>
      <c r="L7" s="337" t="s">
        <v>212</v>
      </c>
      <c r="M7" s="337">
        <v>31</v>
      </c>
      <c r="N7" s="337">
        <v>2</v>
      </c>
      <c r="O7" s="337">
        <v>4</v>
      </c>
      <c r="P7" s="1125">
        <v>5</v>
      </c>
      <c r="Q7" s="1125">
        <v>0</v>
      </c>
      <c r="R7" s="319">
        <v>0</v>
      </c>
      <c r="S7" s="319">
        <v>1</v>
      </c>
      <c r="T7" s="337"/>
      <c r="U7" s="327">
        <v>0</v>
      </c>
      <c r="V7" s="337"/>
      <c r="W7" s="327">
        <v>0</v>
      </c>
      <c r="X7" s="319">
        <v>6</v>
      </c>
      <c r="Y7" s="1128" t="s">
        <v>574</v>
      </c>
      <c r="Z7" s="329">
        <v>1</v>
      </c>
      <c r="AA7" s="330">
        <v>0</v>
      </c>
      <c r="AB7" s="1125">
        <v>7</v>
      </c>
      <c r="AC7" s="1125">
        <v>14</v>
      </c>
      <c r="AD7" s="319">
        <v>2</v>
      </c>
      <c r="AE7" s="331">
        <v>1</v>
      </c>
      <c r="AF7" s="332" t="s">
        <v>118</v>
      </c>
      <c r="AG7" s="1126">
        <v>5000</v>
      </c>
      <c r="AH7" s="341" t="s">
        <v>1094</v>
      </c>
      <c r="AI7" s="1126">
        <v>1400</v>
      </c>
      <c r="AJ7" s="341" t="s">
        <v>1093</v>
      </c>
      <c r="AK7" s="1126">
        <v>500</v>
      </c>
      <c r="AL7" s="334" t="s">
        <v>119</v>
      </c>
      <c r="AM7" s="333">
        <v>0</v>
      </c>
      <c r="AN7" s="318">
        <v>0</v>
      </c>
      <c r="AO7" s="318">
        <v>0</v>
      </c>
      <c r="AP7" s="332" t="s">
        <v>57</v>
      </c>
      <c r="AQ7" s="335">
        <v>4</v>
      </c>
      <c r="AR7" s="337">
        <v>1</v>
      </c>
      <c r="AS7" s="337">
        <v>1</v>
      </c>
      <c r="AT7" s="337">
        <v>1</v>
      </c>
      <c r="AU7" s="337">
        <v>1</v>
      </c>
      <c r="AV7" s="337">
        <v>14</v>
      </c>
      <c r="AW7" s="337">
        <v>200</v>
      </c>
      <c r="AX7" s="337">
        <v>60</v>
      </c>
      <c r="AY7" s="337">
        <v>2</v>
      </c>
      <c r="AZ7" s="336">
        <v>1</v>
      </c>
      <c r="BA7" s="336">
        <v>1</v>
      </c>
      <c r="BB7" s="1119" t="s">
        <v>1085</v>
      </c>
      <c r="BC7" s="338">
        <v>0</v>
      </c>
      <c r="BD7" s="337">
        <v>4</v>
      </c>
      <c r="BE7" s="337">
        <v>4</v>
      </c>
      <c r="BF7" s="337">
        <v>4</v>
      </c>
      <c r="BG7" s="339" t="s">
        <v>669</v>
      </c>
      <c r="BH7" s="1127" t="s">
        <v>1203</v>
      </c>
      <c r="BK7" s="337">
        <v>9</v>
      </c>
      <c r="BL7" s="337" t="s">
        <v>1113</v>
      </c>
      <c r="BM7" s="337">
        <v>2</v>
      </c>
      <c r="BN7" s="341" t="s">
        <v>1202</v>
      </c>
      <c r="BO7" s="337" t="s">
        <v>1091</v>
      </c>
      <c r="BP7" s="337" t="s">
        <v>212</v>
      </c>
      <c r="BQ7" s="341">
        <v>185</v>
      </c>
      <c r="BR7" s="342">
        <v>35987</v>
      </c>
      <c r="BS7" s="343">
        <v>114000</v>
      </c>
      <c r="BT7" s="337">
        <v>100</v>
      </c>
      <c r="BU7" s="337">
        <v>0.9291</v>
      </c>
      <c r="BV7" s="337">
        <v>1.02</v>
      </c>
      <c r="BW7" s="341">
        <v>0.987</v>
      </c>
      <c r="BX7" s="341">
        <v>1.127</v>
      </c>
      <c r="BY7" s="343">
        <v>97100</v>
      </c>
    </row>
    <row r="8" spans="1:77" s="340" customFormat="1" ht="19.5" customHeight="1">
      <c r="A8" s="315">
        <v>10</v>
      </c>
      <c r="B8" s="315" t="s">
        <v>1113</v>
      </c>
      <c r="C8" s="337">
        <v>3</v>
      </c>
      <c r="D8" s="341" t="s">
        <v>1204</v>
      </c>
      <c r="E8" s="337" t="s">
        <v>1091</v>
      </c>
      <c r="F8" s="337">
        <v>2</v>
      </c>
      <c r="G8" s="1123">
        <v>450</v>
      </c>
      <c r="H8" s="342">
        <v>36215</v>
      </c>
      <c r="I8" s="1124">
        <v>125000</v>
      </c>
      <c r="J8" s="337">
        <v>1</v>
      </c>
      <c r="K8" s="337">
        <v>110</v>
      </c>
      <c r="L8" s="337" t="s">
        <v>212</v>
      </c>
      <c r="M8" s="337">
        <v>31</v>
      </c>
      <c r="N8" s="337">
        <v>2</v>
      </c>
      <c r="O8" s="337">
        <v>4</v>
      </c>
      <c r="P8" s="1125">
        <v>5.5</v>
      </c>
      <c r="Q8" s="1125">
        <v>0</v>
      </c>
      <c r="R8" s="319">
        <v>0</v>
      </c>
      <c r="S8" s="319">
        <v>1</v>
      </c>
      <c r="T8" s="337">
        <v>1</v>
      </c>
      <c r="U8" s="327">
        <v>5.5</v>
      </c>
      <c r="V8" s="337"/>
      <c r="W8" s="327">
        <v>0</v>
      </c>
      <c r="X8" s="319">
        <v>1</v>
      </c>
      <c r="Y8" s="1128" t="s">
        <v>574</v>
      </c>
      <c r="Z8" s="329">
        <v>1</v>
      </c>
      <c r="AA8" s="330">
        <v>0</v>
      </c>
      <c r="AB8" s="1125">
        <v>26.5</v>
      </c>
      <c r="AC8" s="1125">
        <v>18.5</v>
      </c>
      <c r="AD8" s="319">
        <v>2</v>
      </c>
      <c r="AE8" s="331">
        <v>1</v>
      </c>
      <c r="AF8" s="332" t="s">
        <v>118</v>
      </c>
      <c r="AG8" s="1126">
        <v>5900</v>
      </c>
      <c r="AH8" s="341" t="s">
        <v>1092</v>
      </c>
      <c r="AI8" s="1126">
        <v>800</v>
      </c>
      <c r="AJ8" s="341" t="s">
        <v>1205</v>
      </c>
      <c r="AK8" s="1126">
        <v>1000</v>
      </c>
      <c r="AL8" s="334" t="s">
        <v>119</v>
      </c>
      <c r="AM8" s="333">
        <v>0</v>
      </c>
      <c r="AN8" s="318">
        <v>0</v>
      </c>
      <c r="AO8" s="318">
        <v>0</v>
      </c>
      <c r="AP8" s="332" t="s">
        <v>57</v>
      </c>
      <c r="AQ8" s="335">
        <v>4</v>
      </c>
      <c r="AR8" s="337">
        <v>1</v>
      </c>
      <c r="AS8" s="337">
        <v>1</v>
      </c>
      <c r="AT8" s="337">
        <v>1</v>
      </c>
      <c r="AU8" s="337">
        <v>1</v>
      </c>
      <c r="AV8" s="337">
        <v>14</v>
      </c>
      <c r="AW8" s="337">
        <v>200</v>
      </c>
      <c r="AX8" s="337">
        <v>60</v>
      </c>
      <c r="AY8" s="337">
        <v>2</v>
      </c>
      <c r="AZ8" s="336">
        <v>1</v>
      </c>
      <c r="BA8" s="336">
        <v>1</v>
      </c>
      <c r="BB8" s="1119" t="s">
        <v>1085</v>
      </c>
      <c r="BC8" s="338">
        <v>0</v>
      </c>
      <c r="BD8" s="337">
        <v>4</v>
      </c>
      <c r="BE8" s="337">
        <v>4</v>
      </c>
      <c r="BF8" s="337">
        <v>4</v>
      </c>
      <c r="BG8" s="339" t="s">
        <v>59</v>
      </c>
      <c r="BH8" s="1127" t="s">
        <v>1206</v>
      </c>
      <c r="BK8" s="337">
        <v>10</v>
      </c>
      <c r="BL8" s="337" t="s">
        <v>1113</v>
      </c>
      <c r="BM8" s="337">
        <v>3</v>
      </c>
      <c r="BN8" s="341" t="s">
        <v>1204</v>
      </c>
      <c r="BO8" s="337" t="s">
        <v>1091</v>
      </c>
      <c r="BP8" s="337" t="s">
        <v>212</v>
      </c>
      <c r="BQ8" s="341">
        <v>450</v>
      </c>
      <c r="BR8" s="342">
        <v>36215</v>
      </c>
      <c r="BS8" s="343">
        <v>125000</v>
      </c>
      <c r="BT8" s="337">
        <v>110</v>
      </c>
      <c r="BU8" s="337">
        <v>0.9904</v>
      </c>
      <c r="BV8" s="337">
        <v>1.02</v>
      </c>
      <c r="BW8" s="341">
        <v>1.024</v>
      </c>
      <c r="BX8" s="341">
        <v>1.126</v>
      </c>
      <c r="BY8" s="343">
        <v>99600</v>
      </c>
    </row>
    <row r="9" spans="1:77" s="340" customFormat="1" ht="19.5" customHeight="1">
      <c r="A9" s="315">
        <v>11</v>
      </c>
      <c r="B9" s="315" t="s">
        <v>1113</v>
      </c>
      <c r="C9" s="337">
        <v>4</v>
      </c>
      <c r="D9" s="341" t="s">
        <v>1209</v>
      </c>
      <c r="E9" s="337" t="s">
        <v>1091</v>
      </c>
      <c r="F9" s="337">
        <v>1</v>
      </c>
      <c r="G9" s="1123">
        <v>280</v>
      </c>
      <c r="H9" s="342">
        <v>36219</v>
      </c>
      <c r="I9" s="1124">
        <v>110000</v>
      </c>
      <c r="J9" s="337">
        <v>0</v>
      </c>
      <c r="K9" s="337">
        <v>100</v>
      </c>
      <c r="L9" s="337" t="s">
        <v>212</v>
      </c>
      <c r="M9" s="337">
        <v>31</v>
      </c>
      <c r="N9" s="337">
        <v>2</v>
      </c>
      <c r="O9" s="337">
        <v>4</v>
      </c>
      <c r="P9" s="1125">
        <v>3.5</v>
      </c>
      <c r="Q9" s="1125">
        <v>0</v>
      </c>
      <c r="R9" s="319">
        <v>0</v>
      </c>
      <c r="S9" s="319">
        <v>1</v>
      </c>
      <c r="T9" s="337">
        <v>1</v>
      </c>
      <c r="U9" s="327">
        <v>2</v>
      </c>
      <c r="V9" s="337"/>
      <c r="W9" s="327">
        <v>0</v>
      </c>
      <c r="X9" s="319">
        <v>1</v>
      </c>
      <c r="Y9" s="1128" t="s">
        <v>574</v>
      </c>
      <c r="Z9" s="329">
        <v>1</v>
      </c>
      <c r="AA9" s="330">
        <v>10.35</v>
      </c>
      <c r="AB9" s="1125">
        <v>13.8</v>
      </c>
      <c r="AC9" s="1125">
        <v>12.5</v>
      </c>
      <c r="AD9" s="319">
        <v>1</v>
      </c>
      <c r="AE9" s="331">
        <v>1</v>
      </c>
      <c r="AF9" s="332" t="s">
        <v>118</v>
      </c>
      <c r="AG9" s="1126">
        <v>5500</v>
      </c>
      <c r="AH9" s="341" t="s">
        <v>1094</v>
      </c>
      <c r="AI9" s="1126">
        <v>1000</v>
      </c>
      <c r="AJ9" s="341" t="s">
        <v>1093</v>
      </c>
      <c r="AK9" s="1126">
        <v>200</v>
      </c>
      <c r="AL9" s="334" t="s">
        <v>119</v>
      </c>
      <c r="AM9" s="333">
        <v>0</v>
      </c>
      <c r="AN9" s="318">
        <v>0</v>
      </c>
      <c r="AO9" s="318">
        <v>0</v>
      </c>
      <c r="AP9" s="332" t="s">
        <v>57</v>
      </c>
      <c r="AQ9" s="335">
        <v>4</v>
      </c>
      <c r="AR9" s="337">
        <v>1</v>
      </c>
      <c r="AS9" s="337">
        <v>1</v>
      </c>
      <c r="AT9" s="337">
        <v>1</v>
      </c>
      <c r="AU9" s="337">
        <v>1</v>
      </c>
      <c r="AV9" s="337">
        <v>14</v>
      </c>
      <c r="AW9" s="337">
        <v>200</v>
      </c>
      <c r="AX9" s="337">
        <v>60</v>
      </c>
      <c r="AY9" s="337">
        <v>2</v>
      </c>
      <c r="AZ9" s="336">
        <v>1</v>
      </c>
      <c r="BA9" s="336">
        <v>1</v>
      </c>
      <c r="BB9" s="1119" t="s">
        <v>1085</v>
      </c>
      <c r="BC9" s="338">
        <v>0</v>
      </c>
      <c r="BD9" s="337">
        <v>4</v>
      </c>
      <c r="BE9" s="337">
        <v>5</v>
      </c>
      <c r="BF9" s="337">
        <v>5</v>
      </c>
      <c r="BG9" s="339" t="s">
        <v>669</v>
      </c>
      <c r="BH9" s="1127" t="s">
        <v>1210</v>
      </c>
      <c r="BK9" s="337">
        <v>11</v>
      </c>
      <c r="BL9" s="337" t="s">
        <v>1113</v>
      </c>
      <c r="BM9" s="337">
        <v>4</v>
      </c>
      <c r="BN9" s="341" t="s">
        <v>1209</v>
      </c>
      <c r="BO9" s="337" t="s">
        <v>1091</v>
      </c>
      <c r="BP9" s="337" t="s">
        <v>212</v>
      </c>
      <c r="BQ9" s="341">
        <v>280</v>
      </c>
      <c r="BR9" s="342">
        <v>36219</v>
      </c>
      <c r="BS9" s="343">
        <v>110000</v>
      </c>
      <c r="BT9" s="337">
        <v>100</v>
      </c>
      <c r="BU9" s="337">
        <v>0.9915</v>
      </c>
      <c r="BV9" s="337">
        <v>1.02</v>
      </c>
      <c r="BW9" s="341">
        <v>0.998</v>
      </c>
      <c r="BX9" s="341">
        <v>1.115</v>
      </c>
      <c r="BY9" s="343">
        <v>100000</v>
      </c>
    </row>
    <row r="10" spans="1:77" s="1904" customFormat="1" ht="19.5" customHeight="1">
      <c r="A10" s="744">
        <v>12</v>
      </c>
      <c r="B10" s="744" t="s">
        <v>1113</v>
      </c>
      <c r="C10" s="744">
        <v>5</v>
      </c>
      <c r="D10" s="1888" t="s">
        <v>1207</v>
      </c>
      <c r="E10" s="744" t="s">
        <v>1091</v>
      </c>
      <c r="F10" s="744">
        <v>2</v>
      </c>
      <c r="G10" s="1889">
        <v>70</v>
      </c>
      <c r="H10" s="1890">
        <v>35942</v>
      </c>
      <c r="I10" s="1891">
        <v>84400</v>
      </c>
      <c r="J10" s="744">
        <v>0</v>
      </c>
      <c r="K10" s="744">
        <v>100</v>
      </c>
      <c r="L10" s="744" t="s">
        <v>212</v>
      </c>
      <c r="M10" s="744">
        <v>31</v>
      </c>
      <c r="N10" s="744">
        <v>2</v>
      </c>
      <c r="O10" s="744">
        <v>1</v>
      </c>
      <c r="P10" s="1892">
        <v>4</v>
      </c>
      <c r="Q10" s="1892">
        <v>0</v>
      </c>
      <c r="R10" s="1893">
        <v>0</v>
      </c>
      <c r="S10" s="1893">
        <v>1</v>
      </c>
      <c r="T10" s="744">
        <v>2</v>
      </c>
      <c r="U10" s="1894">
        <v>4</v>
      </c>
      <c r="V10" s="744"/>
      <c r="W10" s="1894">
        <v>0</v>
      </c>
      <c r="X10" s="1893">
        <v>1</v>
      </c>
      <c r="Y10" s="1895" t="s">
        <v>574</v>
      </c>
      <c r="Z10" s="1896">
        <v>1</v>
      </c>
      <c r="AA10" s="1897">
        <v>0</v>
      </c>
      <c r="AB10" s="1892">
        <v>5</v>
      </c>
      <c r="AC10" s="1892">
        <v>8</v>
      </c>
      <c r="AD10" s="1893">
        <v>3</v>
      </c>
      <c r="AE10" s="1898">
        <v>1</v>
      </c>
      <c r="AF10" s="1899" t="s">
        <v>118</v>
      </c>
      <c r="AG10" s="1900">
        <v>5800</v>
      </c>
      <c r="AH10" s="1888" t="s">
        <v>1094</v>
      </c>
      <c r="AI10" s="1900">
        <v>400</v>
      </c>
      <c r="AJ10" s="1888" t="s">
        <v>1093</v>
      </c>
      <c r="AK10" s="1900">
        <v>1000</v>
      </c>
      <c r="AL10" s="1901" t="s">
        <v>119</v>
      </c>
      <c r="AM10" s="1902">
        <v>0</v>
      </c>
      <c r="AN10" s="1893">
        <v>0</v>
      </c>
      <c r="AO10" s="1893">
        <v>0</v>
      </c>
      <c r="AP10" s="1899" t="s">
        <v>58</v>
      </c>
      <c r="AQ10" s="744">
        <v>4</v>
      </c>
      <c r="AR10" s="744">
        <v>1</v>
      </c>
      <c r="AS10" s="744">
        <v>1</v>
      </c>
      <c r="AT10" s="744">
        <v>1</v>
      </c>
      <c r="AU10" s="744">
        <v>1</v>
      </c>
      <c r="AV10" s="744">
        <v>4</v>
      </c>
      <c r="AW10" s="744">
        <v>200</v>
      </c>
      <c r="AX10" s="744">
        <v>60</v>
      </c>
      <c r="AY10" s="744">
        <v>2</v>
      </c>
      <c r="AZ10" s="1893">
        <v>1</v>
      </c>
      <c r="BA10" s="1893">
        <v>1</v>
      </c>
      <c r="BB10" s="748" t="s">
        <v>1085</v>
      </c>
      <c r="BC10" s="1903">
        <v>0</v>
      </c>
      <c r="BD10" s="744">
        <v>4</v>
      </c>
      <c r="BE10" s="744">
        <v>4</v>
      </c>
      <c r="BF10" s="744">
        <v>4</v>
      </c>
      <c r="BG10" s="1888" t="s">
        <v>669</v>
      </c>
      <c r="BH10" s="1888" t="s">
        <v>1208</v>
      </c>
      <c r="BK10" s="744">
        <v>12</v>
      </c>
      <c r="BL10" s="744" t="s">
        <v>1113</v>
      </c>
      <c r="BM10" s="744">
        <v>5</v>
      </c>
      <c r="BN10" s="1888" t="s">
        <v>1207</v>
      </c>
      <c r="BO10" s="744" t="s">
        <v>1091</v>
      </c>
      <c r="BP10" s="744" t="s">
        <v>212</v>
      </c>
      <c r="BQ10" s="1888">
        <v>70</v>
      </c>
      <c r="BR10" s="1890">
        <v>35942</v>
      </c>
      <c r="BS10" s="1905">
        <v>84400</v>
      </c>
      <c r="BT10" s="744">
        <v>100</v>
      </c>
      <c r="BU10" s="744">
        <v>0.917</v>
      </c>
      <c r="BV10" s="744">
        <v>1.02</v>
      </c>
      <c r="BW10" s="1888">
        <v>0.772</v>
      </c>
      <c r="BX10" s="1888">
        <v>1.225</v>
      </c>
      <c r="BY10" s="1905">
        <v>83500</v>
      </c>
    </row>
    <row r="11" spans="1:77" s="1904" customFormat="1" ht="19.5" customHeight="1">
      <c r="A11" s="744">
        <v>13</v>
      </c>
      <c r="B11" s="744" t="s">
        <v>1113</v>
      </c>
      <c r="C11" s="744">
        <v>6</v>
      </c>
      <c r="D11" s="1888" t="s">
        <v>1207</v>
      </c>
      <c r="E11" s="744" t="s">
        <v>1091</v>
      </c>
      <c r="F11" s="744">
        <v>2</v>
      </c>
      <c r="G11" s="1889">
        <v>70</v>
      </c>
      <c r="H11" s="1890">
        <v>35942</v>
      </c>
      <c r="I11" s="1891">
        <v>84400</v>
      </c>
      <c r="J11" s="744">
        <v>0</v>
      </c>
      <c r="K11" s="744">
        <v>100</v>
      </c>
      <c r="L11" s="744" t="s">
        <v>212</v>
      </c>
      <c r="M11" s="744">
        <v>31</v>
      </c>
      <c r="N11" s="744">
        <v>2</v>
      </c>
      <c r="O11" s="744">
        <v>1</v>
      </c>
      <c r="P11" s="1892">
        <v>4</v>
      </c>
      <c r="Q11" s="1892">
        <v>0</v>
      </c>
      <c r="R11" s="1893">
        <v>0</v>
      </c>
      <c r="S11" s="1893">
        <v>1</v>
      </c>
      <c r="T11" s="744">
        <v>2</v>
      </c>
      <c r="U11" s="1894">
        <v>4</v>
      </c>
      <c r="V11" s="744"/>
      <c r="W11" s="1894">
        <v>0</v>
      </c>
      <c r="X11" s="1893">
        <v>1</v>
      </c>
      <c r="Y11" s="1895" t="s">
        <v>574</v>
      </c>
      <c r="Z11" s="1896">
        <v>1</v>
      </c>
      <c r="AA11" s="1897">
        <v>0</v>
      </c>
      <c r="AB11" s="1892">
        <v>5</v>
      </c>
      <c r="AC11" s="1892">
        <v>8</v>
      </c>
      <c r="AD11" s="1893">
        <v>3</v>
      </c>
      <c r="AE11" s="1898">
        <v>1</v>
      </c>
      <c r="AF11" s="1899" t="s">
        <v>118</v>
      </c>
      <c r="AG11" s="1900">
        <v>5800</v>
      </c>
      <c r="AH11" s="1888" t="s">
        <v>1094</v>
      </c>
      <c r="AI11" s="1900">
        <v>400</v>
      </c>
      <c r="AJ11" s="1888" t="s">
        <v>1093</v>
      </c>
      <c r="AK11" s="1900">
        <v>1000</v>
      </c>
      <c r="AL11" s="1901" t="s">
        <v>119</v>
      </c>
      <c r="AM11" s="1902">
        <v>0</v>
      </c>
      <c r="AN11" s="1893">
        <v>0</v>
      </c>
      <c r="AO11" s="1893">
        <v>0</v>
      </c>
      <c r="AP11" s="1899" t="s">
        <v>58</v>
      </c>
      <c r="AQ11" s="744">
        <v>4</v>
      </c>
      <c r="AR11" s="744">
        <v>1</v>
      </c>
      <c r="AS11" s="744">
        <v>1</v>
      </c>
      <c r="AT11" s="744">
        <v>1</v>
      </c>
      <c r="AU11" s="744">
        <v>1</v>
      </c>
      <c r="AV11" s="744">
        <v>4</v>
      </c>
      <c r="AW11" s="744">
        <v>200</v>
      </c>
      <c r="AX11" s="744">
        <v>60</v>
      </c>
      <c r="AY11" s="744">
        <v>2</v>
      </c>
      <c r="AZ11" s="1893">
        <v>1</v>
      </c>
      <c r="BA11" s="1893">
        <v>1</v>
      </c>
      <c r="BB11" s="748" t="s">
        <v>1085</v>
      </c>
      <c r="BC11" s="1903">
        <v>0</v>
      </c>
      <c r="BD11" s="744">
        <v>4</v>
      </c>
      <c r="BE11" s="744">
        <v>4</v>
      </c>
      <c r="BF11" s="744">
        <v>4</v>
      </c>
      <c r="BG11" s="1888" t="s">
        <v>669</v>
      </c>
      <c r="BH11" s="1888" t="s">
        <v>1208</v>
      </c>
      <c r="BK11" s="744">
        <v>13</v>
      </c>
      <c r="BL11" s="744" t="s">
        <v>1113</v>
      </c>
      <c r="BM11" s="744">
        <v>6</v>
      </c>
      <c r="BN11" s="1888" t="s">
        <v>1207</v>
      </c>
      <c r="BO11" s="744" t="s">
        <v>1091</v>
      </c>
      <c r="BP11" s="744" t="s">
        <v>212</v>
      </c>
      <c r="BQ11" s="1888">
        <v>70</v>
      </c>
      <c r="BR11" s="1890">
        <v>35942</v>
      </c>
      <c r="BS11" s="1905">
        <v>84400</v>
      </c>
      <c r="BT11" s="744">
        <v>100</v>
      </c>
      <c r="BU11" s="744">
        <v>0.917</v>
      </c>
      <c r="BV11" s="744">
        <v>1.02</v>
      </c>
      <c r="BW11" s="1888">
        <v>0.772</v>
      </c>
      <c r="BX11" s="1888">
        <v>1.225</v>
      </c>
      <c r="BY11" s="1905">
        <v>83500</v>
      </c>
    </row>
    <row r="12" spans="1:77" s="340" customFormat="1" ht="19.5" customHeight="1">
      <c r="A12" s="315">
        <v>14</v>
      </c>
      <c r="B12" s="315" t="s">
        <v>1113</v>
      </c>
      <c r="C12" s="337">
        <v>7</v>
      </c>
      <c r="D12" s="341"/>
      <c r="E12" s="337"/>
      <c r="F12" s="337"/>
      <c r="G12" s="1123"/>
      <c r="H12" s="342"/>
      <c r="I12" s="1124"/>
      <c r="J12" s="337"/>
      <c r="K12" s="337"/>
      <c r="L12" s="337"/>
      <c r="M12" s="337"/>
      <c r="N12" s="337"/>
      <c r="O12" s="337"/>
      <c r="P12" s="1125"/>
      <c r="Q12" s="1125"/>
      <c r="R12" s="319"/>
      <c r="S12" s="319"/>
      <c r="T12" s="337"/>
      <c r="U12" s="327"/>
      <c r="V12" s="337"/>
      <c r="W12" s="327"/>
      <c r="X12" s="319"/>
      <c r="Y12" s="1128"/>
      <c r="Z12" s="329"/>
      <c r="AA12" s="330"/>
      <c r="AB12" s="1125"/>
      <c r="AC12" s="1125"/>
      <c r="AD12" s="319"/>
      <c r="AE12" s="331"/>
      <c r="AF12" s="332"/>
      <c r="AG12" s="1126"/>
      <c r="AH12" s="341"/>
      <c r="AI12" s="1126"/>
      <c r="AJ12" s="341"/>
      <c r="AK12" s="1126"/>
      <c r="AL12" s="341"/>
      <c r="AM12" s="1126"/>
      <c r="AN12" s="318"/>
      <c r="AO12" s="318"/>
      <c r="AP12" s="332"/>
      <c r="AQ12" s="335"/>
      <c r="AR12" s="337"/>
      <c r="AS12" s="337"/>
      <c r="AT12" s="337"/>
      <c r="AU12" s="337"/>
      <c r="AV12" s="337"/>
      <c r="AW12" s="337"/>
      <c r="AX12" s="337"/>
      <c r="AY12" s="337"/>
      <c r="AZ12" s="336">
        <v>1</v>
      </c>
      <c r="BA12" s="336">
        <v>1</v>
      </c>
      <c r="BB12" s="1119"/>
      <c r="BC12" s="338"/>
      <c r="BD12" s="337"/>
      <c r="BE12" s="337"/>
      <c r="BF12" s="337"/>
      <c r="BG12" s="339" t="s">
        <v>669</v>
      </c>
      <c r="BH12" s="1127"/>
      <c r="BK12" s="337">
        <v>14</v>
      </c>
      <c r="BL12" s="337" t="s">
        <v>1113</v>
      </c>
      <c r="BM12" s="337">
        <v>7</v>
      </c>
      <c r="BN12" s="341">
        <v>0</v>
      </c>
      <c r="BO12" s="337">
        <v>0</v>
      </c>
      <c r="BP12" s="337">
        <v>0</v>
      </c>
      <c r="BQ12" s="341">
        <v>0</v>
      </c>
      <c r="BR12" s="342">
        <v>0</v>
      </c>
      <c r="BS12" s="343">
        <v>0</v>
      </c>
      <c r="BT12" s="337">
        <v>0</v>
      </c>
      <c r="BU12" s="337">
        <v>0.9997</v>
      </c>
      <c r="BV12" s="337">
        <v>1.02</v>
      </c>
      <c r="BW12" s="341" t="e">
        <v>#DIV/0!</v>
      </c>
      <c r="BX12" s="341" t="e">
        <v>#N/A</v>
      </c>
      <c r="BY12" s="343" t="s">
        <v>997</v>
      </c>
    </row>
    <row r="13" spans="1:77" s="340" customFormat="1" ht="19.5" customHeight="1">
      <c r="A13" s="315">
        <v>15</v>
      </c>
      <c r="B13" s="315" t="s">
        <v>1113</v>
      </c>
      <c r="C13" s="337">
        <v>8</v>
      </c>
      <c r="D13" s="341"/>
      <c r="E13" s="337"/>
      <c r="F13" s="337"/>
      <c r="G13" s="1123"/>
      <c r="H13" s="342"/>
      <c r="I13" s="1124"/>
      <c r="J13" s="337"/>
      <c r="K13" s="337"/>
      <c r="L13" s="337"/>
      <c r="M13" s="337"/>
      <c r="N13" s="337"/>
      <c r="O13" s="337"/>
      <c r="P13" s="1125"/>
      <c r="Q13" s="1125"/>
      <c r="R13" s="319"/>
      <c r="S13" s="319"/>
      <c r="T13" s="337"/>
      <c r="U13" s="327"/>
      <c r="V13" s="337"/>
      <c r="W13" s="327"/>
      <c r="X13" s="319"/>
      <c r="Y13" s="1128"/>
      <c r="Z13" s="329"/>
      <c r="AA13" s="330"/>
      <c r="AB13" s="1125"/>
      <c r="AC13" s="1125"/>
      <c r="AD13" s="319"/>
      <c r="AE13" s="331"/>
      <c r="AF13" s="332"/>
      <c r="AG13" s="1126"/>
      <c r="AH13" s="341"/>
      <c r="AI13" s="1126"/>
      <c r="AJ13" s="341"/>
      <c r="AK13" s="1126"/>
      <c r="AL13" s="341"/>
      <c r="AM13" s="1126"/>
      <c r="AN13" s="318"/>
      <c r="AO13" s="318"/>
      <c r="AP13" s="332"/>
      <c r="AQ13" s="335"/>
      <c r="AR13" s="337"/>
      <c r="AS13" s="337"/>
      <c r="AT13" s="337"/>
      <c r="AU13" s="337"/>
      <c r="AV13" s="337"/>
      <c r="AW13" s="337"/>
      <c r="AX13" s="337"/>
      <c r="AY13" s="337"/>
      <c r="AZ13" s="336">
        <v>1</v>
      </c>
      <c r="BA13" s="336">
        <v>1</v>
      </c>
      <c r="BB13" s="1119"/>
      <c r="BC13" s="338"/>
      <c r="BD13" s="337"/>
      <c r="BE13" s="337"/>
      <c r="BF13" s="337"/>
      <c r="BG13" s="339" t="s">
        <v>669</v>
      </c>
      <c r="BH13" s="1127"/>
      <c r="BK13" s="337">
        <v>15</v>
      </c>
      <c r="BL13" s="337" t="s">
        <v>1113</v>
      </c>
      <c r="BM13" s="337">
        <v>8</v>
      </c>
      <c r="BN13" s="341">
        <v>0</v>
      </c>
      <c r="BO13" s="337">
        <v>0</v>
      </c>
      <c r="BP13" s="337">
        <v>0</v>
      </c>
      <c r="BQ13" s="341">
        <v>0</v>
      </c>
      <c r="BR13" s="342">
        <v>0</v>
      </c>
      <c r="BS13" s="343">
        <v>0</v>
      </c>
      <c r="BT13" s="337">
        <v>0</v>
      </c>
      <c r="BU13" s="337">
        <v>0.9997</v>
      </c>
      <c r="BV13" s="337">
        <v>1.02</v>
      </c>
      <c r="BW13" s="341" t="e">
        <v>#DIV/0!</v>
      </c>
      <c r="BX13" s="341" t="e">
        <v>#N/A</v>
      </c>
      <c r="BY13" s="343" t="s">
        <v>997</v>
      </c>
    </row>
    <row r="14" spans="1:77" s="340" customFormat="1" ht="19.5" customHeight="1">
      <c r="A14" s="315">
        <v>16</v>
      </c>
      <c r="B14" s="315" t="s">
        <v>1113</v>
      </c>
      <c r="C14" s="337">
        <v>9</v>
      </c>
      <c r="D14" s="341"/>
      <c r="E14" s="337"/>
      <c r="F14" s="337"/>
      <c r="G14" s="1123"/>
      <c r="H14" s="342"/>
      <c r="I14" s="1124"/>
      <c r="J14" s="337"/>
      <c r="K14" s="337"/>
      <c r="L14" s="337"/>
      <c r="M14" s="337"/>
      <c r="N14" s="337"/>
      <c r="O14" s="337"/>
      <c r="P14" s="1125"/>
      <c r="Q14" s="1125"/>
      <c r="R14" s="319"/>
      <c r="S14" s="319"/>
      <c r="T14" s="337"/>
      <c r="U14" s="327"/>
      <c r="V14" s="337"/>
      <c r="W14" s="327"/>
      <c r="X14" s="319"/>
      <c r="Y14" s="1128"/>
      <c r="Z14" s="329"/>
      <c r="AA14" s="330"/>
      <c r="AB14" s="1125"/>
      <c r="AC14" s="1125"/>
      <c r="AD14" s="319"/>
      <c r="AE14" s="331"/>
      <c r="AF14" s="332"/>
      <c r="AG14" s="1126"/>
      <c r="AH14" s="341"/>
      <c r="AI14" s="1126"/>
      <c r="AJ14" s="341"/>
      <c r="AK14" s="1126"/>
      <c r="AL14" s="341"/>
      <c r="AM14" s="1126"/>
      <c r="AN14" s="318"/>
      <c r="AO14" s="318"/>
      <c r="AP14" s="332"/>
      <c r="AQ14" s="335"/>
      <c r="AR14" s="337"/>
      <c r="AS14" s="337"/>
      <c r="AT14" s="337"/>
      <c r="AU14" s="337"/>
      <c r="AV14" s="337"/>
      <c r="AW14" s="337"/>
      <c r="AX14" s="337"/>
      <c r="AY14" s="337"/>
      <c r="AZ14" s="336">
        <v>1</v>
      </c>
      <c r="BA14" s="336">
        <v>1</v>
      </c>
      <c r="BB14" s="1119"/>
      <c r="BC14" s="338"/>
      <c r="BD14" s="337"/>
      <c r="BE14" s="337"/>
      <c r="BF14" s="337"/>
      <c r="BG14" s="339" t="s">
        <v>669</v>
      </c>
      <c r="BH14" s="1127"/>
      <c r="BK14" s="337">
        <v>16</v>
      </c>
      <c r="BL14" s="337" t="s">
        <v>1113</v>
      </c>
      <c r="BM14" s="337">
        <v>9</v>
      </c>
      <c r="BN14" s="341">
        <v>0</v>
      </c>
      <c r="BO14" s="337">
        <v>0</v>
      </c>
      <c r="BP14" s="337">
        <v>0</v>
      </c>
      <c r="BQ14" s="341">
        <v>0</v>
      </c>
      <c r="BR14" s="342">
        <v>0</v>
      </c>
      <c r="BS14" s="343">
        <v>0</v>
      </c>
      <c r="BT14" s="337">
        <v>0</v>
      </c>
      <c r="BU14" s="337">
        <v>0.9997</v>
      </c>
      <c r="BV14" s="337">
        <v>1.02</v>
      </c>
      <c r="BW14" s="341" t="e">
        <v>#DIV/0!</v>
      </c>
      <c r="BX14" s="341" t="e">
        <v>#N/A</v>
      </c>
      <c r="BY14" s="343" t="s">
        <v>997</v>
      </c>
    </row>
    <row r="15" spans="1:77" s="340" customFormat="1" ht="19.5" customHeight="1">
      <c r="A15" s="315">
        <v>17</v>
      </c>
      <c r="B15" s="315" t="s">
        <v>1113</v>
      </c>
      <c r="C15" s="337">
        <v>10</v>
      </c>
      <c r="D15" s="341"/>
      <c r="E15" s="337"/>
      <c r="F15" s="337"/>
      <c r="G15" s="1123"/>
      <c r="H15" s="342"/>
      <c r="I15" s="1124"/>
      <c r="J15" s="337"/>
      <c r="K15" s="337"/>
      <c r="L15" s="337"/>
      <c r="M15" s="337"/>
      <c r="N15" s="337"/>
      <c r="O15" s="337"/>
      <c r="P15" s="1125"/>
      <c r="Q15" s="1125"/>
      <c r="R15" s="319"/>
      <c r="S15" s="319"/>
      <c r="T15" s="337"/>
      <c r="U15" s="327"/>
      <c r="V15" s="337"/>
      <c r="W15" s="327"/>
      <c r="X15" s="319"/>
      <c r="Y15" s="1128"/>
      <c r="Z15" s="329"/>
      <c r="AA15" s="330"/>
      <c r="AB15" s="1125"/>
      <c r="AC15" s="1125"/>
      <c r="AD15" s="319"/>
      <c r="AE15" s="331"/>
      <c r="AF15" s="332"/>
      <c r="AG15" s="1126"/>
      <c r="AH15" s="341"/>
      <c r="AI15" s="1126"/>
      <c r="AJ15" s="341"/>
      <c r="AK15" s="1126"/>
      <c r="AL15" s="341"/>
      <c r="AM15" s="1126"/>
      <c r="AN15" s="318"/>
      <c r="AO15" s="318"/>
      <c r="AP15" s="332"/>
      <c r="AQ15" s="335"/>
      <c r="AR15" s="337"/>
      <c r="AS15" s="337"/>
      <c r="AT15" s="337"/>
      <c r="AU15" s="337"/>
      <c r="AV15" s="337"/>
      <c r="AW15" s="337"/>
      <c r="AX15" s="337"/>
      <c r="AY15" s="337"/>
      <c r="AZ15" s="336">
        <v>1</v>
      </c>
      <c r="BA15" s="336">
        <v>1</v>
      </c>
      <c r="BB15" s="1119"/>
      <c r="BC15" s="338"/>
      <c r="BD15" s="337"/>
      <c r="BE15" s="337"/>
      <c r="BF15" s="337"/>
      <c r="BG15" s="339" t="s">
        <v>669</v>
      </c>
      <c r="BH15" s="1127"/>
      <c r="BK15" s="337">
        <v>17</v>
      </c>
      <c r="BL15" s="337" t="s">
        <v>1113</v>
      </c>
      <c r="BM15" s="337">
        <v>10</v>
      </c>
      <c r="BN15" s="341">
        <v>0</v>
      </c>
      <c r="BO15" s="337">
        <v>0</v>
      </c>
      <c r="BP15" s="337">
        <v>0</v>
      </c>
      <c r="BQ15" s="341">
        <v>0</v>
      </c>
      <c r="BR15" s="342">
        <v>0</v>
      </c>
      <c r="BS15" s="343">
        <v>0</v>
      </c>
      <c r="BT15" s="337">
        <v>0</v>
      </c>
      <c r="BU15" s="337">
        <v>0.9997</v>
      </c>
      <c r="BV15" s="337">
        <v>1.02</v>
      </c>
      <c r="BW15" s="341" t="e">
        <v>#DIV/0!</v>
      </c>
      <c r="BX15" s="341" t="e">
        <v>#N/A</v>
      </c>
      <c r="BY15" s="343" t="s">
        <v>997</v>
      </c>
    </row>
    <row r="16" spans="6:77" s="305" customFormat="1" ht="21.75" customHeight="1">
      <c r="F16" s="1129"/>
      <c r="K16" s="304"/>
      <c r="L16" s="304"/>
      <c r="M16" s="304"/>
      <c r="N16" s="304"/>
      <c r="P16" s="304"/>
      <c r="R16" s="304"/>
      <c r="S16" s="304"/>
      <c r="T16" s="304"/>
      <c r="V16" s="304"/>
      <c r="W16" s="304"/>
      <c r="X16" s="304"/>
      <c r="Y16" s="1129"/>
      <c r="Z16" s="1130"/>
      <c r="AB16" s="304"/>
      <c r="AC16" s="304"/>
      <c r="AD16" s="304"/>
      <c r="AE16" s="304"/>
      <c r="AF16" s="304"/>
      <c r="AH16" s="304"/>
      <c r="AN16" s="304"/>
      <c r="AO16" s="304"/>
      <c r="AQ16" s="304"/>
      <c r="AR16" s="304"/>
      <c r="AS16" s="304"/>
      <c r="AT16" s="304"/>
      <c r="AU16" s="304"/>
      <c r="AV16" s="304"/>
      <c r="AW16" s="304"/>
      <c r="AX16" s="304"/>
      <c r="AY16" s="304"/>
      <c r="AZ16" s="304"/>
      <c r="BA16" s="304"/>
      <c r="BB16" s="304"/>
      <c r="BC16" s="304"/>
      <c r="BK16" s="304"/>
      <c r="BL16" s="304"/>
      <c r="BM16" s="304"/>
      <c r="BO16" s="304"/>
      <c r="BP16" s="304"/>
      <c r="BR16" s="37"/>
      <c r="BS16" s="21"/>
      <c r="BT16" s="304"/>
      <c r="BU16" s="304"/>
      <c r="BV16" s="304"/>
      <c r="BW16" s="1131"/>
      <c r="BX16" s="1131"/>
      <c r="BY16" s="21"/>
    </row>
    <row r="17" spans="6:77" s="305" customFormat="1" ht="21.75" customHeight="1">
      <c r="F17" s="1129"/>
      <c r="K17" s="304"/>
      <c r="L17" s="304"/>
      <c r="M17" s="304"/>
      <c r="N17" s="304"/>
      <c r="P17" s="304"/>
      <c r="R17" s="304"/>
      <c r="S17" s="304"/>
      <c r="T17" s="304"/>
      <c r="V17" s="304"/>
      <c r="W17" s="304"/>
      <c r="X17" s="304"/>
      <c r="Y17" s="1129"/>
      <c r="Z17" s="1130"/>
      <c r="AB17" s="304"/>
      <c r="AC17" s="304"/>
      <c r="AD17" s="304"/>
      <c r="AE17" s="304"/>
      <c r="AF17" s="304"/>
      <c r="AH17" s="304"/>
      <c r="AN17" s="304"/>
      <c r="AO17" s="304"/>
      <c r="AQ17" s="304"/>
      <c r="AR17" s="304"/>
      <c r="AS17" s="304"/>
      <c r="AT17" s="304"/>
      <c r="AU17" s="304"/>
      <c r="AV17" s="304"/>
      <c r="AW17" s="304"/>
      <c r="AX17" s="304"/>
      <c r="AY17" s="304"/>
      <c r="AZ17" s="304"/>
      <c r="BA17" s="304"/>
      <c r="BB17" s="304"/>
      <c r="BC17" s="304"/>
      <c r="BK17" s="304"/>
      <c r="BL17" s="304"/>
      <c r="BM17" s="304"/>
      <c r="BO17" s="304"/>
      <c r="BP17" s="304"/>
      <c r="BR17" s="37"/>
      <c r="BS17" s="21"/>
      <c r="BT17" s="304"/>
      <c r="BU17" s="304"/>
      <c r="BV17" s="304"/>
      <c r="BW17" s="1131"/>
      <c r="BX17" s="1131"/>
      <c r="BY17" s="21"/>
    </row>
    <row r="18" spans="1:77" s="305" customFormat="1" ht="21.75" customHeight="1">
      <c r="A18" s="305" t="s">
        <v>1167</v>
      </c>
      <c r="F18" s="1129"/>
      <c r="K18" s="304"/>
      <c r="L18" s="304"/>
      <c r="M18" s="304"/>
      <c r="N18" s="304"/>
      <c r="P18" s="304"/>
      <c r="R18" s="304"/>
      <c r="S18" s="304"/>
      <c r="T18" s="304"/>
      <c r="V18" s="304"/>
      <c r="W18" s="304"/>
      <c r="X18" s="304"/>
      <c r="Y18" s="1129"/>
      <c r="Z18" s="1130"/>
      <c r="AB18" s="304"/>
      <c r="AC18" s="304"/>
      <c r="AD18" s="304"/>
      <c r="AE18" s="304"/>
      <c r="AF18" s="304"/>
      <c r="AH18" s="304"/>
      <c r="AN18" s="304"/>
      <c r="AO18" s="304"/>
      <c r="AQ18" s="304"/>
      <c r="AR18" s="304"/>
      <c r="AS18" s="304"/>
      <c r="AT18" s="304"/>
      <c r="AU18" s="304"/>
      <c r="AV18" s="304"/>
      <c r="AW18" s="304"/>
      <c r="AX18" s="304"/>
      <c r="AY18" s="304"/>
      <c r="AZ18" s="304"/>
      <c r="BA18" s="304"/>
      <c r="BB18" s="304"/>
      <c r="BC18" s="304"/>
      <c r="BK18" s="304"/>
      <c r="BL18" s="304"/>
      <c r="BM18" s="304"/>
      <c r="BO18" s="304"/>
      <c r="BP18" s="304"/>
      <c r="BR18" s="37"/>
      <c r="BS18" s="21"/>
      <c r="BT18" s="304"/>
      <c r="BU18" s="304"/>
      <c r="BV18" s="304"/>
      <c r="BW18" s="1131"/>
      <c r="BX18" s="1131"/>
      <c r="BY18" s="21"/>
    </row>
  </sheetData>
  <sheetProtection/>
  <printOptions/>
  <pageMargins left="0.46" right="0" top="1" bottom="0" header="0.31" footer="0.32"/>
  <pageSetup orientation="landscape" paperSize="9" scale="60"/>
  <headerFooter alignWithMargins="0">
    <oddHeader>&amp;L&amp;F&amp;A&amp;C&amp;D&amp;T&amp;R&amp;P</oddHeader>
  </headerFooter>
</worksheet>
</file>

<file path=xl/worksheets/sheet7.xml><?xml version="1.0" encoding="utf-8"?>
<worksheet xmlns="http://schemas.openxmlformats.org/spreadsheetml/2006/main" xmlns:r="http://schemas.openxmlformats.org/officeDocument/2006/relationships">
  <sheetPr codeName="Sheet6"/>
  <dimension ref="A1:BY33"/>
  <sheetViews>
    <sheetView workbookViewId="0" topLeftCell="A1">
      <selection activeCell="A1" sqref="A1:IV33"/>
    </sheetView>
  </sheetViews>
  <sheetFormatPr defaultColWidth="11" defaultRowHeight="15"/>
  <cols>
    <col min="1" max="69" width="10.59765625" style="20" customWidth="1"/>
    <col min="70" max="70" width="10.59765625" style="37" customWidth="1"/>
    <col min="71" max="71" width="10.59765625" style="21" customWidth="1"/>
    <col min="72" max="76" width="10.59765625" style="20" customWidth="1"/>
    <col min="77" max="77" width="10.59765625" style="21" customWidth="1"/>
    <col min="78" max="98" width="10.59765625" style="20" customWidth="1"/>
    <col min="99" max="16384" width="11" style="20" customWidth="1"/>
  </cols>
  <sheetData>
    <row r="1" spans="1:77" s="1094" customFormat="1" ht="19.5" customHeight="1">
      <c r="A1" s="34" t="s">
        <v>1160</v>
      </c>
      <c r="B1" s="34"/>
      <c r="C1" s="34"/>
      <c r="D1" s="35" t="s">
        <v>1215</v>
      </c>
      <c r="E1" s="1087"/>
      <c r="F1" s="1087"/>
      <c r="G1" s="1087"/>
      <c r="H1" s="1087"/>
      <c r="I1" s="1088"/>
      <c r="J1" s="1088"/>
      <c r="K1" s="310"/>
      <c r="L1" s="310"/>
      <c r="M1" s="310"/>
      <c r="N1" s="310"/>
      <c r="O1" s="310"/>
      <c r="P1" s="310"/>
      <c r="Q1" s="310"/>
      <c r="R1" s="310"/>
      <c r="S1" s="310"/>
      <c r="T1" s="310"/>
      <c r="U1" s="310"/>
      <c r="V1" s="310"/>
      <c r="W1" s="310"/>
      <c r="X1" s="310"/>
      <c r="Y1" s="310"/>
      <c r="Z1" s="1089"/>
      <c r="AA1" s="310"/>
      <c r="AB1" s="1088"/>
      <c r="AC1" s="1088"/>
      <c r="AD1" s="310"/>
      <c r="AE1" s="1088"/>
      <c r="AF1" s="1088"/>
      <c r="AG1" s="1088"/>
      <c r="AH1" s="1088"/>
      <c r="AI1" s="1088"/>
      <c r="AJ1" s="1088"/>
      <c r="AK1" s="1088"/>
      <c r="AL1" s="310" t="s">
        <v>766</v>
      </c>
      <c r="AM1" s="310"/>
      <c r="AN1" s="310"/>
      <c r="AO1" s="310"/>
      <c r="AP1" s="310"/>
      <c r="AQ1" s="1090"/>
      <c r="AR1" s="310"/>
      <c r="AS1" s="310"/>
      <c r="AT1" s="310"/>
      <c r="AU1" s="310"/>
      <c r="AV1" s="310"/>
      <c r="AW1" s="310"/>
      <c r="AX1" s="310"/>
      <c r="AY1" s="310"/>
      <c r="AZ1" s="310"/>
      <c r="BA1" s="310"/>
      <c r="BB1" s="310"/>
      <c r="BC1" s="310"/>
      <c r="BD1" s="1088"/>
      <c r="BE1" s="1088"/>
      <c r="BF1" s="1088"/>
      <c r="BG1" s="790"/>
      <c r="BH1" s="790"/>
      <c r="BI1" s="310"/>
      <c r="BJ1" s="310"/>
      <c r="BK1" s="310"/>
      <c r="BL1" s="310" t="s">
        <v>997</v>
      </c>
      <c r="BM1" s="310"/>
      <c r="BN1" s="310"/>
      <c r="BO1" s="310"/>
      <c r="BP1" s="310"/>
      <c r="BQ1" s="310"/>
      <c r="BR1" s="1091"/>
      <c r="BS1" s="1092"/>
      <c r="BT1" s="310"/>
      <c r="BU1" s="310"/>
      <c r="BV1" s="310"/>
      <c r="BW1" s="1093"/>
      <c r="BX1" s="1093"/>
      <c r="BY1" s="1092"/>
    </row>
    <row r="2" spans="1:77" s="317" customFormat="1" ht="19.5" customHeight="1">
      <c r="A2" s="1095" t="s">
        <v>679</v>
      </c>
      <c r="B2" s="1095" t="s">
        <v>679</v>
      </c>
      <c r="C2" s="1096" t="s">
        <v>680</v>
      </c>
      <c r="D2" s="1096" t="s">
        <v>680</v>
      </c>
      <c r="E2" s="1096" t="s">
        <v>680</v>
      </c>
      <c r="F2" s="1097" t="s">
        <v>1076</v>
      </c>
      <c r="G2" s="1096" t="s">
        <v>680</v>
      </c>
      <c r="H2" s="1096" t="s">
        <v>680</v>
      </c>
      <c r="I2" s="1096" t="s">
        <v>680</v>
      </c>
      <c r="J2" s="1096" t="s">
        <v>680</v>
      </c>
      <c r="K2" s="1096" t="s">
        <v>680</v>
      </c>
      <c r="L2" s="1096" t="s">
        <v>1320</v>
      </c>
      <c r="M2" s="1096" t="s">
        <v>1272</v>
      </c>
      <c r="N2" s="1096" t="s">
        <v>1027</v>
      </c>
      <c r="O2" s="1096" t="s">
        <v>1272</v>
      </c>
      <c r="P2" s="1096" t="s">
        <v>1228</v>
      </c>
      <c r="Q2" s="1096" t="s">
        <v>1228</v>
      </c>
      <c r="R2" s="1096" t="s">
        <v>1121</v>
      </c>
      <c r="S2" s="1096" t="s">
        <v>1272</v>
      </c>
      <c r="T2" s="1096" t="s">
        <v>1229</v>
      </c>
      <c r="U2" s="1096" t="s">
        <v>669</v>
      </c>
      <c r="V2" s="1096" t="s">
        <v>1230</v>
      </c>
      <c r="W2" s="1096"/>
      <c r="X2" s="1096" t="s">
        <v>1258</v>
      </c>
      <c r="Y2" s="1098" t="s">
        <v>1190</v>
      </c>
      <c r="Z2" s="1099" t="s">
        <v>594</v>
      </c>
      <c r="AA2" s="1096" t="s">
        <v>117</v>
      </c>
      <c r="AB2" s="1096" t="s">
        <v>347</v>
      </c>
      <c r="AC2" s="1096"/>
      <c r="AD2" s="1096" t="s">
        <v>408</v>
      </c>
      <c r="AE2" s="1096" t="s">
        <v>833</v>
      </c>
      <c r="AF2" s="1095" t="s">
        <v>451</v>
      </c>
      <c r="AG2" s="1096" t="s">
        <v>1228</v>
      </c>
      <c r="AH2" s="1095" t="s">
        <v>887</v>
      </c>
      <c r="AI2" s="1096" t="s">
        <v>1228</v>
      </c>
      <c r="AJ2" s="1095" t="s">
        <v>1256</v>
      </c>
      <c r="AK2" s="1096" t="s">
        <v>1228</v>
      </c>
      <c r="AL2" s="1095" t="s">
        <v>626</v>
      </c>
      <c r="AM2" s="1096" t="s">
        <v>1228</v>
      </c>
      <c r="AN2" s="1096" t="s">
        <v>1103</v>
      </c>
      <c r="AO2" s="1096" t="s">
        <v>1103</v>
      </c>
      <c r="AP2" s="1096" t="s">
        <v>1059</v>
      </c>
      <c r="AQ2" s="1095" t="s">
        <v>571</v>
      </c>
      <c r="AR2" s="1096" t="s">
        <v>1272</v>
      </c>
      <c r="AS2" s="1096" t="s">
        <v>1272</v>
      </c>
      <c r="AT2" s="1096" t="s">
        <v>1272</v>
      </c>
      <c r="AU2" s="1096" t="s">
        <v>1288</v>
      </c>
      <c r="AV2" s="1096" t="s">
        <v>1118</v>
      </c>
      <c r="AW2" s="1096"/>
      <c r="AX2" s="1096"/>
      <c r="AY2" s="1096" t="s">
        <v>1260</v>
      </c>
      <c r="AZ2" s="1096" t="s">
        <v>1109</v>
      </c>
      <c r="BA2" s="1096" t="s">
        <v>1109</v>
      </c>
      <c r="BB2" s="1095"/>
      <c r="BC2" s="1096" t="s">
        <v>669</v>
      </c>
      <c r="BD2" s="1095" t="s">
        <v>1110</v>
      </c>
      <c r="BE2" s="1095" t="s">
        <v>1110</v>
      </c>
      <c r="BF2" s="1095" t="s">
        <v>1110</v>
      </c>
      <c r="BG2" s="1095" t="s">
        <v>1060</v>
      </c>
      <c r="BH2" s="1095" t="s">
        <v>1072</v>
      </c>
      <c r="BI2" s="310"/>
      <c r="BJ2" s="310"/>
      <c r="BK2" s="1100" t="s">
        <v>350</v>
      </c>
      <c r="BL2" s="310" t="s">
        <v>997</v>
      </c>
      <c r="BM2" s="310"/>
      <c r="BN2" s="310"/>
      <c r="BO2" s="310"/>
      <c r="BP2" s="310"/>
      <c r="BQ2" s="310"/>
      <c r="BR2" s="1091"/>
      <c r="BS2" s="1092"/>
      <c r="BT2" s="310"/>
      <c r="BU2" s="310"/>
      <c r="BV2" s="310"/>
      <c r="BW2" s="1093"/>
      <c r="BX2" s="1093"/>
      <c r="BY2" s="1092"/>
    </row>
    <row r="3" spans="1:77" s="317" customFormat="1" ht="19.5" customHeight="1">
      <c r="A3" s="1095" t="s">
        <v>593</v>
      </c>
      <c r="B3" s="1097" t="s">
        <v>750</v>
      </c>
      <c r="C3" s="1097" t="s">
        <v>950</v>
      </c>
      <c r="D3" s="1097" t="s">
        <v>491</v>
      </c>
      <c r="E3" s="1097" t="s">
        <v>1054</v>
      </c>
      <c r="F3" s="1101" t="s">
        <v>1149</v>
      </c>
      <c r="G3" s="1097" t="s">
        <v>559</v>
      </c>
      <c r="H3" s="1097" t="s">
        <v>606</v>
      </c>
      <c r="I3" s="1097" t="s">
        <v>665</v>
      </c>
      <c r="J3" s="1097" t="s">
        <v>1216</v>
      </c>
      <c r="K3" s="1097" t="s">
        <v>586</v>
      </c>
      <c r="L3" s="1097" t="s">
        <v>399</v>
      </c>
      <c r="M3" s="1097" t="s">
        <v>911</v>
      </c>
      <c r="N3" s="1097" t="s">
        <v>778</v>
      </c>
      <c r="O3" s="1097" t="s">
        <v>500</v>
      </c>
      <c r="P3" s="1097" t="s">
        <v>919</v>
      </c>
      <c r="Q3" s="1097" t="s">
        <v>1335</v>
      </c>
      <c r="R3" s="1097" t="s">
        <v>1336</v>
      </c>
      <c r="S3" s="1097" t="s">
        <v>1174</v>
      </c>
      <c r="T3" s="1097" t="s">
        <v>1175</v>
      </c>
      <c r="U3" s="1097" t="s">
        <v>1176</v>
      </c>
      <c r="V3" s="1097" t="s">
        <v>1177</v>
      </c>
      <c r="W3" s="1097" t="s">
        <v>1098</v>
      </c>
      <c r="X3" s="1097" t="s">
        <v>1099</v>
      </c>
      <c r="Y3" s="1101" t="s">
        <v>572</v>
      </c>
      <c r="Z3" s="1102" t="s">
        <v>573</v>
      </c>
      <c r="AA3" s="1097" t="s">
        <v>1104</v>
      </c>
      <c r="AB3" s="1097" t="s">
        <v>342</v>
      </c>
      <c r="AC3" s="1097" t="s">
        <v>853</v>
      </c>
      <c r="AD3" s="1097" t="s">
        <v>854</v>
      </c>
      <c r="AE3" s="1097" t="s">
        <v>834</v>
      </c>
      <c r="AF3" s="1097" t="s">
        <v>283</v>
      </c>
      <c r="AG3" s="1097" t="s">
        <v>930</v>
      </c>
      <c r="AH3" s="1097" t="s">
        <v>452</v>
      </c>
      <c r="AI3" s="1097" t="s">
        <v>521</v>
      </c>
      <c r="AJ3" s="1097" t="s">
        <v>265</v>
      </c>
      <c r="AK3" s="1097" t="s">
        <v>850</v>
      </c>
      <c r="AL3" s="1097" t="s">
        <v>851</v>
      </c>
      <c r="AM3" s="1097" t="s">
        <v>852</v>
      </c>
      <c r="AN3" s="1097" t="s">
        <v>549</v>
      </c>
      <c r="AO3" s="1097" t="s">
        <v>550</v>
      </c>
      <c r="AP3" s="1097" t="s">
        <v>934</v>
      </c>
      <c r="AQ3" s="1095" t="s">
        <v>319</v>
      </c>
      <c r="AR3" s="1097" t="s">
        <v>986</v>
      </c>
      <c r="AS3" s="1097" t="s">
        <v>618</v>
      </c>
      <c r="AT3" s="1097" t="s">
        <v>619</v>
      </c>
      <c r="AU3" s="1097" t="s">
        <v>715</v>
      </c>
      <c r="AV3" s="1097" t="s">
        <v>835</v>
      </c>
      <c r="AW3" s="1097" t="s">
        <v>369</v>
      </c>
      <c r="AX3" s="1097" t="s">
        <v>1134</v>
      </c>
      <c r="AY3" s="1097" t="s">
        <v>1135</v>
      </c>
      <c r="AZ3" s="1097" t="s">
        <v>1179</v>
      </c>
      <c r="BA3" s="1097" t="s">
        <v>1062</v>
      </c>
      <c r="BB3" s="1097" t="s">
        <v>931</v>
      </c>
      <c r="BC3" s="1097" t="s">
        <v>1161</v>
      </c>
      <c r="BD3" s="1095" t="s">
        <v>1025</v>
      </c>
      <c r="BE3" s="1095" t="s">
        <v>1034</v>
      </c>
      <c r="BF3" s="1095" t="s">
        <v>294</v>
      </c>
      <c r="BG3" s="1095" t="s">
        <v>804</v>
      </c>
      <c r="BH3" s="1095" t="s">
        <v>266</v>
      </c>
      <c r="BI3" s="310"/>
      <c r="BJ3" s="310"/>
      <c r="BK3" s="311" t="s">
        <v>593</v>
      </c>
      <c r="BL3" s="311" t="s">
        <v>750</v>
      </c>
      <c r="BM3" s="311" t="s">
        <v>950</v>
      </c>
      <c r="BN3" s="311" t="s">
        <v>491</v>
      </c>
      <c r="BO3" s="311" t="s">
        <v>644</v>
      </c>
      <c r="BP3" s="311" t="s">
        <v>399</v>
      </c>
      <c r="BQ3" s="311" t="s">
        <v>559</v>
      </c>
      <c r="BR3" s="312" t="s">
        <v>606</v>
      </c>
      <c r="BS3" s="313" t="s">
        <v>665</v>
      </c>
      <c r="BT3" s="311" t="s">
        <v>586</v>
      </c>
      <c r="BU3" s="314" t="s">
        <v>793</v>
      </c>
      <c r="BV3" s="315" t="s">
        <v>602</v>
      </c>
      <c r="BW3" s="315" t="s">
        <v>603</v>
      </c>
      <c r="BX3" s="315" t="s">
        <v>604</v>
      </c>
      <c r="BY3" s="316" t="s">
        <v>1040</v>
      </c>
    </row>
    <row r="4" spans="1:77" s="340" customFormat="1" ht="19.5" customHeight="1">
      <c r="A4" s="315">
        <v>1</v>
      </c>
      <c r="B4" s="318" t="s">
        <v>295</v>
      </c>
      <c r="C4" s="319">
        <v>1</v>
      </c>
      <c r="D4" s="320" t="s">
        <v>15</v>
      </c>
      <c r="E4" s="319" t="s">
        <v>1091</v>
      </c>
      <c r="F4" s="319">
        <v>1</v>
      </c>
      <c r="G4" s="321">
        <v>255.69</v>
      </c>
      <c r="H4" s="322"/>
      <c r="I4" s="323"/>
      <c r="J4" s="324"/>
      <c r="K4" s="325"/>
      <c r="L4" s="319" t="s">
        <v>212</v>
      </c>
      <c r="M4" s="319">
        <v>31</v>
      </c>
      <c r="N4" s="319">
        <v>4</v>
      </c>
      <c r="O4" s="319">
        <v>2</v>
      </c>
      <c r="P4" s="326">
        <v>5.5</v>
      </c>
      <c r="Q4" s="326">
        <v>0</v>
      </c>
      <c r="R4" s="319">
        <v>0</v>
      </c>
      <c r="S4" s="319">
        <v>1</v>
      </c>
      <c r="T4" s="319"/>
      <c r="U4" s="327">
        <v>0</v>
      </c>
      <c r="V4" s="319"/>
      <c r="W4" s="327">
        <v>0</v>
      </c>
      <c r="X4" s="319">
        <v>6</v>
      </c>
      <c r="Y4" s="328" t="s">
        <v>574</v>
      </c>
      <c r="Z4" s="329">
        <v>1</v>
      </c>
      <c r="AA4" s="330">
        <v>0</v>
      </c>
      <c r="AB4" s="326">
        <v>9.8</v>
      </c>
      <c r="AC4" s="326">
        <v>22.8</v>
      </c>
      <c r="AD4" s="319">
        <v>2</v>
      </c>
      <c r="AE4" s="331">
        <v>1</v>
      </c>
      <c r="AF4" s="332" t="s">
        <v>118</v>
      </c>
      <c r="AG4" s="333">
        <v>5300</v>
      </c>
      <c r="AH4" s="334" t="s">
        <v>1092</v>
      </c>
      <c r="AI4" s="333">
        <v>1300</v>
      </c>
      <c r="AJ4" s="334" t="s">
        <v>1093</v>
      </c>
      <c r="AK4" s="333">
        <v>700</v>
      </c>
      <c r="AL4" s="334" t="s">
        <v>119</v>
      </c>
      <c r="AM4" s="333">
        <v>0</v>
      </c>
      <c r="AN4" s="318">
        <v>0</v>
      </c>
      <c r="AO4" s="318">
        <v>0</v>
      </c>
      <c r="AP4" s="320" t="s">
        <v>120</v>
      </c>
      <c r="AQ4" s="335">
        <v>4</v>
      </c>
      <c r="AR4" s="319">
        <v>1</v>
      </c>
      <c r="AS4" s="319">
        <v>1</v>
      </c>
      <c r="AT4" s="319">
        <v>1</v>
      </c>
      <c r="AU4" s="319">
        <v>1</v>
      </c>
      <c r="AV4" s="319">
        <v>16</v>
      </c>
      <c r="AW4" s="319">
        <v>200</v>
      </c>
      <c r="AX4" s="319">
        <v>60</v>
      </c>
      <c r="AY4" s="319">
        <v>2</v>
      </c>
      <c r="AZ4" s="336">
        <v>1</v>
      </c>
      <c r="BA4" s="336">
        <v>1</v>
      </c>
      <c r="BB4" s="337" t="s">
        <v>1085</v>
      </c>
      <c r="BC4" s="338">
        <v>0</v>
      </c>
      <c r="BD4" s="337">
        <v>4</v>
      </c>
      <c r="BE4" s="337">
        <v>4</v>
      </c>
      <c r="BF4" s="337">
        <v>4</v>
      </c>
      <c r="BG4" s="339" t="s">
        <v>669</v>
      </c>
      <c r="BH4" s="339"/>
      <c r="BK4" s="337">
        <v>1</v>
      </c>
      <c r="BL4" s="337" t="s">
        <v>295</v>
      </c>
      <c r="BM4" s="337">
        <v>1</v>
      </c>
      <c r="BN4" s="341" t="s">
        <v>15</v>
      </c>
      <c r="BO4" s="337" t="s">
        <v>1091</v>
      </c>
      <c r="BP4" s="337" t="s">
        <v>212</v>
      </c>
      <c r="BQ4" s="341">
        <v>255.69</v>
      </c>
      <c r="BR4" s="342">
        <v>0</v>
      </c>
      <c r="BS4" s="343">
        <v>0</v>
      </c>
      <c r="BT4" s="337">
        <v>0</v>
      </c>
      <c r="BU4" s="337">
        <v>0.9997</v>
      </c>
      <c r="BV4" s="337">
        <v>1.02</v>
      </c>
      <c r="BW4" s="341">
        <v>1.02</v>
      </c>
      <c r="BX4" s="341">
        <v>1</v>
      </c>
      <c r="BY4" s="343" t="s">
        <v>997</v>
      </c>
    </row>
    <row r="5" spans="1:77" ht="19.5" customHeight="1">
      <c r="A5" s="1103">
        <v>6</v>
      </c>
      <c r="B5" s="1103" t="s">
        <v>17</v>
      </c>
      <c r="C5" s="1104" t="s">
        <v>19</v>
      </c>
      <c r="D5" s="1105" t="s">
        <v>21</v>
      </c>
      <c r="E5" s="1104" t="s">
        <v>1091</v>
      </c>
      <c r="F5" s="1104">
        <v>1</v>
      </c>
      <c r="G5" s="1106">
        <v>225</v>
      </c>
      <c r="H5" s="1107">
        <v>36160</v>
      </c>
      <c r="I5" s="1108">
        <v>120000</v>
      </c>
      <c r="J5" s="1104">
        <v>0</v>
      </c>
      <c r="K5" s="1104">
        <v>100</v>
      </c>
      <c r="L5" s="1104" t="s">
        <v>212</v>
      </c>
      <c r="M5" s="1104">
        <v>31</v>
      </c>
      <c r="N5" s="1104">
        <v>2</v>
      </c>
      <c r="O5" s="1104">
        <v>4</v>
      </c>
      <c r="P5" s="1109">
        <v>5.5</v>
      </c>
      <c r="Q5" s="1110">
        <v>0</v>
      </c>
      <c r="R5" s="1104">
        <v>0</v>
      </c>
      <c r="S5" s="1104">
        <v>1</v>
      </c>
      <c r="T5" s="1104"/>
      <c r="U5" s="1111">
        <v>0</v>
      </c>
      <c r="V5" s="1104"/>
      <c r="W5" s="1111">
        <v>0</v>
      </c>
      <c r="X5" s="1104">
        <v>6</v>
      </c>
      <c r="Y5" s="1112" t="s">
        <v>574</v>
      </c>
      <c r="Z5" s="1113">
        <v>1</v>
      </c>
      <c r="AA5" s="1114">
        <v>0</v>
      </c>
      <c r="AB5" s="1110">
        <v>12.5</v>
      </c>
      <c r="AC5" s="1110">
        <v>19.5</v>
      </c>
      <c r="AD5" s="1104">
        <v>2</v>
      </c>
      <c r="AE5" s="1115">
        <v>1</v>
      </c>
      <c r="AF5" s="332" t="s">
        <v>118</v>
      </c>
      <c r="AG5" s="1116">
        <v>5500</v>
      </c>
      <c r="AH5" s="1116" t="s">
        <v>1094</v>
      </c>
      <c r="AI5" s="1116">
        <v>1300</v>
      </c>
      <c r="AJ5" s="1116" t="s">
        <v>1093</v>
      </c>
      <c r="AK5" s="1116">
        <v>300</v>
      </c>
      <c r="AL5" s="334" t="s">
        <v>119</v>
      </c>
      <c r="AM5" s="333">
        <v>0</v>
      </c>
      <c r="AN5" s="1104">
        <v>0</v>
      </c>
      <c r="AO5" s="1104">
        <v>0</v>
      </c>
      <c r="AP5" s="1105" t="s">
        <v>1095</v>
      </c>
      <c r="AQ5" s="1103">
        <v>4</v>
      </c>
      <c r="AR5" s="1104">
        <v>1</v>
      </c>
      <c r="AS5" s="1104">
        <v>1</v>
      </c>
      <c r="AT5" s="1104">
        <v>1</v>
      </c>
      <c r="AU5" s="1104">
        <v>1</v>
      </c>
      <c r="AV5" s="1103">
        <v>14</v>
      </c>
      <c r="AW5" s="1104">
        <v>200</v>
      </c>
      <c r="AX5" s="1104">
        <v>60</v>
      </c>
      <c r="AY5" s="1104">
        <v>2</v>
      </c>
      <c r="AZ5" s="1104">
        <v>1</v>
      </c>
      <c r="BA5" s="1104">
        <v>1</v>
      </c>
      <c r="BB5" s="1103" t="s">
        <v>1085</v>
      </c>
      <c r="BC5" s="1117">
        <v>0</v>
      </c>
      <c r="BD5" s="1103">
        <v>4</v>
      </c>
      <c r="BE5" s="1103">
        <v>3</v>
      </c>
      <c r="BF5" s="1103">
        <v>4</v>
      </c>
      <c r="BG5" s="1118"/>
      <c r="BH5" s="1118"/>
      <c r="BK5" s="1119">
        <v>6</v>
      </c>
      <c r="BL5" s="1119" t="s">
        <v>17</v>
      </c>
      <c r="BM5" s="1119" t="s">
        <v>19</v>
      </c>
      <c r="BN5" s="1120" t="s">
        <v>21</v>
      </c>
      <c r="BO5" s="1119" t="s">
        <v>1091</v>
      </c>
      <c r="BP5" s="1119" t="s">
        <v>212</v>
      </c>
      <c r="BQ5" s="1120">
        <v>225</v>
      </c>
      <c r="BR5" s="1121">
        <v>36160</v>
      </c>
      <c r="BS5" s="1122">
        <v>120000</v>
      </c>
      <c r="BT5" s="1119">
        <v>100</v>
      </c>
      <c r="BU5" s="1119">
        <v>0.9753</v>
      </c>
      <c r="BV5" s="1119">
        <v>1.02</v>
      </c>
      <c r="BW5" s="1120">
        <v>1</v>
      </c>
      <c r="BX5" s="1120">
        <v>1.21</v>
      </c>
      <c r="BY5" s="1122">
        <v>98700</v>
      </c>
    </row>
    <row r="6" spans="1:77" s="340" customFormat="1" ht="19.5" customHeight="1">
      <c r="A6" s="315">
        <v>8</v>
      </c>
      <c r="B6" s="315" t="s">
        <v>1113</v>
      </c>
      <c r="C6" s="337">
        <v>1</v>
      </c>
      <c r="D6" s="341" t="s">
        <v>1096</v>
      </c>
      <c r="E6" s="337" t="s">
        <v>1091</v>
      </c>
      <c r="F6" s="337">
        <v>1</v>
      </c>
      <c r="G6" s="1123">
        <v>240</v>
      </c>
      <c r="H6" s="342">
        <v>36118</v>
      </c>
      <c r="I6" s="1124">
        <v>113000</v>
      </c>
      <c r="J6" s="337">
        <v>0</v>
      </c>
      <c r="K6" s="337">
        <v>100</v>
      </c>
      <c r="L6" s="337" t="s">
        <v>212</v>
      </c>
      <c r="M6" s="337">
        <v>31</v>
      </c>
      <c r="N6" s="337">
        <v>2</v>
      </c>
      <c r="O6" s="337">
        <v>2</v>
      </c>
      <c r="P6" s="1125">
        <v>5.5</v>
      </c>
      <c r="Q6" s="1125">
        <v>0</v>
      </c>
      <c r="R6" s="319">
        <v>0</v>
      </c>
      <c r="S6" s="319">
        <v>1</v>
      </c>
      <c r="T6" s="337"/>
      <c r="U6" s="327">
        <v>0</v>
      </c>
      <c r="V6" s="337"/>
      <c r="W6" s="327">
        <v>0</v>
      </c>
      <c r="X6" s="319">
        <v>6</v>
      </c>
      <c r="Y6" s="328" t="s">
        <v>574</v>
      </c>
      <c r="Z6" s="329">
        <v>1</v>
      </c>
      <c r="AA6" s="330">
        <v>0</v>
      </c>
      <c r="AB6" s="1125">
        <v>6.5</v>
      </c>
      <c r="AC6" s="1125">
        <v>19</v>
      </c>
      <c r="AD6" s="319">
        <v>2</v>
      </c>
      <c r="AE6" s="331">
        <v>1</v>
      </c>
      <c r="AF6" s="332" t="s">
        <v>118</v>
      </c>
      <c r="AG6" s="1126">
        <v>5100</v>
      </c>
      <c r="AH6" s="334" t="s">
        <v>1094</v>
      </c>
      <c r="AI6" s="1126">
        <v>1500</v>
      </c>
      <c r="AJ6" s="334" t="s">
        <v>1093</v>
      </c>
      <c r="AK6" s="1126">
        <v>500</v>
      </c>
      <c r="AL6" s="334" t="s">
        <v>119</v>
      </c>
      <c r="AM6" s="333">
        <v>0</v>
      </c>
      <c r="AN6" s="318">
        <v>0</v>
      </c>
      <c r="AO6" s="318">
        <v>0</v>
      </c>
      <c r="AP6" s="332" t="s">
        <v>57</v>
      </c>
      <c r="AQ6" s="335">
        <v>4</v>
      </c>
      <c r="AR6" s="337">
        <v>1</v>
      </c>
      <c r="AS6" s="337">
        <v>1</v>
      </c>
      <c r="AT6" s="337">
        <v>1</v>
      </c>
      <c r="AU6" s="337">
        <v>1</v>
      </c>
      <c r="AV6" s="337">
        <v>14</v>
      </c>
      <c r="AW6" s="337">
        <v>200</v>
      </c>
      <c r="AX6" s="337">
        <v>60</v>
      </c>
      <c r="AY6" s="337">
        <v>2</v>
      </c>
      <c r="AZ6" s="336">
        <v>1</v>
      </c>
      <c r="BA6" s="336">
        <v>1</v>
      </c>
      <c r="BB6" s="1119" t="s">
        <v>1085</v>
      </c>
      <c r="BC6" s="338">
        <v>0</v>
      </c>
      <c r="BD6" s="337">
        <v>4</v>
      </c>
      <c r="BE6" s="337">
        <v>4</v>
      </c>
      <c r="BF6" s="337">
        <v>4</v>
      </c>
      <c r="BG6" s="339" t="s">
        <v>669</v>
      </c>
      <c r="BH6" s="1127" t="s">
        <v>1097</v>
      </c>
      <c r="BK6" s="337">
        <v>8</v>
      </c>
      <c r="BL6" s="337" t="s">
        <v>1113</v>
      </c>
      <c r="BM6" s="337">
        <v>1</v>
      </c>
      <c r="BN6" s="341" t="s">
        <v>1096</v>
      </c>
      <c r="BO6" s="337" t="s">
        <v>1091</v>
      </c>
      <c r="BP6" s="337" t="s">
        <v>212</v>
      </c>
      <c r="BQ6" s="341">
        <v>240</v>
      </c>
      <c r="BR6" s="342">
        <v>36118</v>
      </c>
      <c r="BS6" s="343">
        <v>113000</v>
      </c>
      <c r="BT6" s="337">
        <v>100</v>
      </c>
      <c r="BU6" s="337">
        <v>0.9641</v>
      </c>
      <c r="BV6" s="337">
        <v>1.02</v>
      </c>
      <c r="BW6" s="341">
        <v>0.971</v>
      </c>
      <c r="BX6" s="341">
        <v>1.126</v>
      </c>
      <c r="BY6" s="343">
        <v>101600</v>
      </c>
    </row>
    <row r="7" spans="1:77" s="340" customFormat="1" ht="19.5" customHeight="1">
      <c r="A7" s="315">
        <v>9</v>
      </c>
      <c r="B7" s="315" t="s">
        <v>1113</v>
      </c>
      <c r="C7" s="337">
        <v>2</v>
      </c>
      <c r="D7" s="341" t="s">
        <v>1202</v>
      </c>
      <c r="E7" s="337" t="s">
        <v>1091</v>
      </c>
      <c r="F7" s="337">
        <v>1</v>
      </c>
      <c r="G7" s="1123">
        <v>185</v>
      </c>
      <c r="H7" s="342">
        <v>35987</v>
      </c>
      <c r="I7" s="1124">
        <v>114000</v>
      </c>
      <c r="J7" s="337">
        <v>0</v>
      </c>
      <c r="K7" s="337">
        <v>100</v>
      </c>
      <c r="L7" s="337" t="s">
        <v>212</v>
      </c>
      <c r="M7" s="337">
        <v>31</v>
      </c>
      <c r="N7" s="337">
        <v>2</v>
      </c>
      <c r="O7" s="337">
        <v>4</v>
      </c>
      <c r="P7" s="1125">
        <v>5</v>
      </c>
      <c r="Q7" s="1125">
        <v>0</v>
      </c>
      <c r="R7" s="319">
        <v>0</v>
      </c>
      <c r="S7" s="319">
        <v>1</v>
      </c>
      <c r="T7" s="337"/>
      <c r="U7" s="327">
        <v>0</v>
      </c>
      <c r="V7" s="337"/>
      <c r="W7" s="327">
        <v>0</v>
      </c>
      <c r="X7" s="319">
        <v>6</v>
      </c>
      <c r="Y7" s="1128" t="s">
        <v>574</v>
      </c>
      <c r="Z7" s="329">
        <v>1</v>
      </c>
      <c r="AA7" s="330">
        <v>0</v>
      </c>
      <c r="AB7" s="1125">
        <v>7</v>
      </c>
      <c r="AC7" s="1125">
        <v>14</v>
      </c>
      <c r="AD7" s="319">
        <v>2</v>
      </c>
      <c r="AE7" s="331">
        <v>1</v>
      </c>
      <c r="AF7" s="332" t="s">
        <v>118</v>
      </c>
      <c r="AG7" s="1126">
        <v>5000</v>
      </c>
      <c r="AH7" s="341" t="s">
        <v>1094</v>
      </c>
      <c r="AI7" s="1126">
        <v>1400</v>
      </c>
      <c r="AJ7" s="341" t="s">
        <v>1093</v>
      </c>
      <c r="AK7" s="1126">
        <v>500</v>
      </c>
      <c r="AL7" s="334" t="s">
        <v>119</v>
      </c>
      <c r="AM7" s="333">
        <v>0</v>
      </c>
      <c r="AN7" s="318">
        <v>0</v>
      </c>
      <c r="AO7" s="318">
        <v>0</v>
      </c>
      <c r="AP7" s="332" t="s">
        <v>57</v>
      </c>
      <c r="AQ7" s="335">
        <v>4</v>
      </c>
      <c r="AR7" s="337">
        <v>1</v>
      </c>
      <c r="AS7" s="337">
        <v>1</v>
      </c>
      <c r="AT7" s="337">
        <v>1</v>
      </c>
      <c r="AU7" s="337">
        <v>1</v>
      </c>
      <c r="AV7" s="337">
        <v>14</v>
      </c>
      <c r="AW7" s="337">
        <v>200</v>
      </c>
      <c r="AX7" s="337">
        <v>60</v>
      </c>
      <c r="AY7" s="337">
        <v>2</v>
      </c>
      <c r="AZ7" s="336">
        <v>1</v>
      </c>
      <c r="BA7" s="336">
        <v>1</v>
      </c>
      <c r="BB7" s="1119" t="s">
        <v>1085</v>
      </c>
      <c r="BC7" s="338">
        <v>0</v>
      </c>
      <c r="BD7" s="337">
        <v>4</v>
      </c>
      <c r="BE7" s="337">
        <v>4</v>
      </c>
      <c r="BF7" s="337">
        <v>4</v>
      </c>
      <c r="BG7" s="339" t="s">
        <v>669</v>
      </c>
      <c r="BH7" s="1127" t="s">
        <v>1203</v>
      </c>
      <c r="BK7" s="337">
        <v>9</v>
      </c>
      <c r="BL7" s="337" t="s">
        <v>1113</v>
      </c>
      <c r="BM7" s="337">
        <v>2</v>
      </c>
      <c r="BN7" s="341" t="s">
        <v>1202</v>
      </c>
      <c r="BO7" s="337" t="s">
        <v>1091</v>
      </c>
      <c r="BP7" s="337" t="s">
        <v>212</v>
      </c>
      <c r="BQ7" s="341">
        <v>185</v>
      </c>
      <c r="BR7" s="342">
        <v>35987</v>
      </c>
      <c r="BS7" s="343">
        <v>114000</v>
      </c>
      <c r="BT7" s="337">
        <v>100</v>
      </c>
      <c r="BU7" s="337">
        <v>0.9291</v>
      </c>
      <c r="BV7" s="337">
        <v>1.02</v>
      </c>
      <c r="BW7" s="341">
        <v>0.987</v>
      </c>
      <c r="BX7" s="341">
        <v>1.127</v>
      </c>
      <c r="BY7" s="343">
        <v>97100</v>
      </c>
    </row>
    <row r="8" spans="1:77" s="340" customFormat="1" ht="19.5" customHeight="1">
      <c r="A8" s="315">
        <v>10</v>
      </c>
      <c r="B8" s="315" t="s">
        <v>1113</v>
      </c>
      <c r="C8" s="337">
        <v>3</v>
      </c>
      <c r="D8" s="341" t="s">
        <v>1204</v>
      </c>
      <c r="E8" s="337" t="s">
        <v>1091</v>
      </c>
      <c r="F8" s="337">
        <v>2</v>
      </c>
      <c r="G8" s="1123">
        <v>450</v>
      </c>
      <c r="H8" s="342">
        <v>36215</v>
      </c>
      <c r="I8" s="1124">
        <v>125000</v>
      </c>
      <c r="J8" s="337">
        <v>1</v>
      </c>
      <c r="K8" s="337">
        <v>110</v>
      </c>
      <c r="L8" s="337" t="s">
        <v>212</v>
      </c>
      <c r="M8" s="337">
        <v>31</v>
      </c>
      <c r="N8" s="337">
        <v>2</v>
      </c>
      <c r="O8" s="337">
        <v>4</v>
      </c>
      <c r="P8" s="1125">
        <v>5.5</v>
      </c>
      <c r="Q8" s="1125">
        <v>0</v>
      </c>
      <c r="R8" s="319">
        <v>0</v>
      </c>
      <c r="S8" s="319">
        <v>1</v>
      </c>
      <c r="T8" s="337">
        <v>1</v>
      </c>
      <c r="U8" s="327">
        <v>5.5</v>
      </c>
      <c r="V8" s="337"/>
      <c r="W8" s="327">
        <v>0</v>
      </c>
      <c r="X8" s="319">
        <v>1</v>
      </c>
      <c r="Y8" s="1128" t="s">
        <v>574</v>
      </c>
      <c r="Z8" s="329">
        <v>1</v>
      </c>
      <c r="AA8" s="330">
        <v>0</v>
      </c>
      <c r="AB8" s="1125">
        <v>26.5</v>
      </c>
      <c r="AC8" s="1125">
        <v>18.5</v>
      </c>
      <c r="AD8" s="319">
        <v>2</v>
      </c>
      <c r="AE8" s="331">
        <v>1</v>
      </c>
      <c r="AF8" s="332" t="s">
        <v>118</v>
      </c>
      <c r="AG8" s="1126">
        <v>5900</v>
      </c>
      <c r="AH8" s="341" t="s">
        <v>1092</v>
      </c>
      <c r="AI8" s="1126">
        <v>800</v>
      </c>
      <c r="AJ8" s="341" t="s">
        <v>1205</v>
      </c>
      <c r="AK8" s="1126">
        <v>1000</v>
      </c>
      <c r="AL8" s="334" t="s">
        <v>119</v>
      </c>
      <c r="AM8" s="333">
        <v>0</v>
      </c>
      <c r="AN8" s="318">
        <v>0</v>
      </c>
      <c r="AO8" s="318">
        <v>0</v>
      </c>
      <c r="AP8" s="332" t="s">
        <v>57</v>
      </c>
      <c r="AQ8" s="335">
        <v>4</v>
      </c>
      <c r="AR8" s="337">
        <v>1</v>
      </c>
      <c r="AS8" s="337">
        <v>1</v>
      </c>
      <c r="AT8" s="337">
        <v>1</v>
      </c>
      <c r="AU8" s="337">
        <v>1</v>
      </c>
      <c r="AV8" s="337">
        <v>14</v>
      </c>
      <c r="AW8" s="337">
        <v>200</v>
      </c>
      <c r="AX8" s="337">
        <v>60</v>
      </c>
      <c r="AY8" s="337">
        <v>2</v>
      </c>
      <c r="AZ8" s="336">
        <v>1</v>
      </c>
      <c r="BA8" s="336">
        <v>1</v>
      </c>
      <c r="BB8" s="1119" t="s">
        <v>1085</v>
      </c>
      <c r="BC8" s="338">
        <v>0</v>
      </c>
      <c r="BD8" s="337">
        <v>4</v>
      </c>
      <c r="BE8" s="337">
        <v>4</v>
      </c>
      <c r="BF8" s="337">
        <v>4</v>
      </c>
      <c r="BG8" s="339" t="s">
        <v>59</v>
      </c>
      <c r="BH8" s="1127" t="s">
        <v>1206</v>
      </c>
      <c r="BK8" s="337">
        <v>10</v>
      </c>
      <c r="BL8" s="337" t="s">
        <v>1113</v>
      </c>
      <c r="BM8" s="337">
        <v>3</v>
      </c>
      <c r="BN8" s="341" t="s">
        <v>1204</v>
      </c>
      <c r="BO8" s="337" t="s">
        <v>1091</v>
      </c>
      <c r="BP8" s="337" t="s">
        <v>212</v>
      </c>
      <c r="BQ8" s="341">
        <v>450</v>
      </c>
      <c r="BR8" s="342">
        <v>36215</v>
      </c>
      <c r="BS8" s="343">
        <v>125000</v>
      </c>
      <c r="BT8" s="337">
        <v>110</v>
      </c>
      <c r="BU8" s="337">
        <v>0.9904</v>
      </c>
      <c r="BV8" s="337">
        <v>1.02</v>
      </c>
      <c r="BW8" s="341">
        <v>1.024</v>
      </c>
      <c r="BX8" s="341">
        <v>1.126</v>
      </c>
      <c r="BY8" s="343">
        <v>99600</v>
      </c>
    </row>
    <row r="9" spans="1:77" s="340" customFormat="1" ht="19.5" customHeight="1">
      <c r="A9" s="315">
        <v>11</v>
      </c>
      <c r="B9" s="315" t="s">
        <v>1113</v>
      </c>
      <c r="C9" s="337">
        <v>4</v>
      </c>
      <c r="D9" s="341" t="s">
        <v>1209</v>
      </c>
      <c r="E9" s="337" t="s">
        <v>1091</v>
      </c>
      <c r="F9" s="337">
        <v>1</v>
      </c>
      <c r="G9" s="1123">
        <v>280</v>
      </c>
      <c r="H9" s="342">
        <v>36219</v>
      </c>
      <c r="I9" s="1124">
        <v>110000</v>
      </c>
      <c r="J9" s="337">
        <v>0</v>
      </c>
      <c r="K9" s="337">
        <v>100</v>
      </c>
      <c r="L9" s="337" t="s">
        <v>212</v>
      </c>
      <c r="M9" s="337">
        <v>31</v>
      </c>
      <c r="N9" s="337">
        <v>2</v>
      </c>
      <c r="O9" s="337">
        <v>4</v>
      </c>
      <c r="P9" s="1125">
        <v>3.5</v>
      </c>
      <c r="Q9" s="1125">
        <v>0</v>
      </c>
      <c r="R9" s="319">
        <v>0</v>
      </c>
      <c r="S9" s="319">
        <v>1</v>
      </c>
      <c r="T9" s="337">
        <v>1</v>
      </c>
      <c r="U9" s="327">
        <v>2</v>
      </c>
      <c r="V9" s="337"/>
      <c r="W9" s="327">
        <v>0</v>
      </c>
      <c r="X9" s="319">
        <v>1</v>
      </c>
      <c r="Y9" s="1128" t="s">
        <v>574</v>
      </c>
      <c r="Z9" s="329">
        <v>1</v>
      </c>
      <c r="AA9" s="330">
        <v>10.35</v>
      </c>
      <c r="AB9" s="1125">
        <v>13.8</v>
      </c>
      <c r="AC9" s="1125">
        <v>12.5</v>
      </c>
      <c r="AD9" s="319">
        <v>1</v>
      </c>
      <c r="AE9" s="331">
        <v>1</v>
      </c>
      <c r="AF9" s="332" t="s">
        <v>118</v>
      </c>
      <c r="AG9" s="1126">
        <v>5500</v>
      </c>
      <c r="AH9" s="341" t="s">
        <v>1094</v>
      </c>
      <c r="AI9" s="1126">
        <v>1000</v>
      </c>
      <c r="AJ9" s="341" t="s">
        <v>1093</v>
      </c>
      <c r="AK9" s="1126">
        <v>200</v>
      </c>
      <c r="AL9" s="334" t="s">
        <v>119</v>
      </c>
      <c r="AM9" s="333">
        <v>0</v>
      </c>
      <c r="AN9" s="318">
        <v>0</v>
      </c>
      <c r="AO9" s="318">
        <v>0</v>
      </c>
      <c r="AP9" s="332" t="s">
        <v>57</v>
      </c>
      <c r="AQ9" s="335">
        <v>4</v>
      </c>
      <c r="AR9" s="337">
        <v>1</v>
      </c>
      <c r="AS9" s="337">
        <v>1</v>
      </c>
      <c r="AT9" s="337">
        <v>1</v>
      </c>
      <c r="AU9" s="337">
        <v>1</v>
      </c>
      <c r="AV9" s="337">
        <v>14</v>
      </c>
      <c r="AW9" s="337">
        <v>200</v>
      </c>
      <c r="AX9" s="337">
        <v>60</v>
      </c>
      <c r="AY9" s="337">
        <v>2</v>
      </c>
      <c r="AZ9" s="336">
        <v>1</v>
      </c>
      <c r="BA9" s="336">
        <v>1</v>
      </c>
      <c r="BB9" s="1119" t="s">
        <v>1085</v>
      </c>
      <c r="BC9" s="338">
        <v>0</v>
      </c>
      <c r="BD9" s="337">
        <v>4</v>
      </c>
      <c r="BE9" s="337">
        <v>5</v>
      </c>
      <c r="BF9" s="337">
        <v>5</v>
      </c>
      <c r="BG9" s="339" t="s">
        <v>669</v>
      </c>
      <c r="BH9" s="1127" t="s">
        <v>1210</v>
      </c>
      <c r="BK9" s="337">
        <v>11</v>
      </c>
      <c r="BL9" s="337" t="s">
        <v>1113</v>
      </c>
      <c r="BM9" s="337">
        <v>4</v>
      </c>
      <c r="BN9" s="341" t="s">
        <v>1209</v>
      </c>
      <c r="BO9" s="337" t="s">
        <v>1091</v>
      </c>
      <c r="BP9" s="337" t="s">
        <v>212</v>
      </c>
      <c r="BQ9" s="341">
        <v>280</v>
      </c>
      <c r="BR9" s="342">
        <v>36219</v>
      </c>
      <c r="BS9" s="343">
        <v>110000</v>
      </c>
      <c r="BT9" s="337">
        <v>100</v>
      </c>
      <c r="BU9" s="337">
        <v>0.9915</v>
      </c>
      <c r="BV9" s="337">
        <v>1.02</v>
      </c>
      <c r="BW9" s="341">
        <v>0.998</v>
      </c>
      <c r="BX9" s="341">
        <v>1.115</v>
      </c>
      <c r="BY9" s="343">
        <v>100000</v>
      </c>
    </row>
    <row r="10" spans="1:77" s="1904" customFormat="1" ht="19.5" customHeight="1">
      <c r="A10" s="744">
        <v>12</v>
      </c>
      <c r="B10" s="744" t="s">
        <v>1113</v>
      </c>
      <c r="C10" s="744">
        <v>5</v>
      </c>
      <c r="D10" s="1888" t="s">
        <v>1207</v>
      </c>
      <c r="E10" s="744" t="s">
        <v>1091</v>
      </c>
      <c r="F10" s="744">
        <v>2</v>
      </c>
      <c r="G10" s="1889">
        <v>70</v>
      </c>
      <c r="H10" s="1890">
        <v>35942</v>
      </c>
      <c r="I10" s="1891">
        <v>84400</v>
      </c>
      <c r="J10" s="744">
        <v>0</v>
      </c>
      <c r="K10" s="744">
        <v>100</v>
      </c>
      <c r="L10" s="744" t="s">
        <v>212</v>
      </c>
      <c r="M10" s="744">
        <v>31</v>
      </c>
      <c r="N10" s="744">
        <v>2</v>
      </c>
      <c r="O10" s="744">
        <v>1</v>
      </c>
      <c r="P10" s="1892">
        <v>4</v>
      </c>
      <c r="Q10" s="1892">
        <v>0</v>
      </c>
      <c r="R10" s="1893">
        <v>0</v>
      </c>
      <c r="S10" s="1893">
        <v>1</v>
      </c>
      <c r="T10" s="744">
        <v>2</v>
      </c>
      <c r="U10" s="1894">
        <v>4</v>
      </c>
      <c r="V10" s="744"/>
      <c r="W10" s="1894">
        <v>0</v>
      </c>
      <c r="X10" s="1893">
        <v>1</v>
      </c>
      <c r="Y10" s="1895" t="s">
        <v>574</v>
      </c>
      <c r="Z10" s="1896">
        <v>1</v>
      </c>
      <c r="AA10" s="1897">
        <v>0</v>
      </c>
      <c r="AB10" s="1892">
        <v>5</v>
      </c>
      <c r="AC10" s="1892">
        <v>8</v>
      </c>
      <c r="AD10" s="1893">
        <v>3</v>
      </c>
      <c r="AE10" s="1898">
        <v>1</v>
      </c>
      <c r="AF10" s="1899" t="s">
        <v>118</v>
      </c>
      <c r="AG10" s="1900">
        <v>5800</v>
      </c>
      <c r="AH10" s="1888" t="s">
        <v>1094</v>
      </c>
      <c r="AI10" s="1900">
        <v>400</v>
      </c>
      <c r="AJ10" s="1888" t="s">
        <v>1093</v>
      </c>
      <c r="AK10" s="1900">
        <v>1000</v>
      </c>
      <c r="AL10" s="1901" t="s">
        <v>119</v>
      </c>
      <c r="AM10" s="1902">
        <v>0</v>
      </c>
      <c r="AN10" s="1893">
        <v>0</v>
      </c>
      <c r="AO10" s="1893">
        <v>0</v>
      </c>
      <c r="AP10" s="1899" t="s">
        <v>58</v>
      </c>
      <c r="AQ10" s="744">
        <v>4</v>
      </c>
      <c r="AR10" s="744">
        <v>1</v>
      </c>
      <c r="AS10" s="744">
        <v>1</v>
      </c>
      <c r="AT10" s="744">
        <v>1</v>
      </c>
      <c r="AU10" s="744">
        <v>1</v>
      </c>
      <c r="AV10" s="744">
        <v>4</v>
      </c>
      <c r="AW10" s="744">
        <v>200</v>
      </c>
      <c r="AX10" s="744">
        <v>60</v>
      </c>
      <c r="AY10" s="744">
        <v>2</v>
      </c>
      <c r="AZ10" s="1893">
        <v>1</v>
      </c>
      <c r="BA10" s="1893">
        <v>1</v>
      </c>
      <c r="BB10" s="748" t="s">
        <v>1085</v>
      </c>
      <c r="BC10" s="1903">
        <v>0</v>
      </c>
      <c r="BD10" s="744">
        <v>4</v>
      </c>
      <c r="BE10" s="744">
        <v>4</v>
      </c>
      <c r="BF10" s="744">
        <v>4</v>
      </c>
      <c r="BG10" s="1888" t="s">
        <v>669</v>
      </c>
      <c r="BH10" s="1888" t="s">
        <v>1208</v>
      </c>
      <c r="BK10" s="744">
        <v>12</v>
      </c>
      <c r="BL10" s="744" t="s">
        <v>1113</v>
      </c>
      <c r="BM10" s="744">
        <v>5</v>
      </c>
      <c r="BN10" s="1888" t="s">
        <v>1207</v>
      </c>
      <c r="BO10" s="744" t="s">
        <v>1091</v>
      </c>
      <c r="BP10" s="744" t="s">
        <v>212</v>
      </c>
      <c r="BQ10" s="1888">
        <v>70</v>
      </c>
      <c r="BR10" s="1890">
        <v>35942</v>
      </c>
      <c r="BS10" s="1905">
        <v>84400</v>
      </c>
      <c r="BT10" s="744">
        <v>100</v>
      </c>
      <c r="BU10" s="744">
        <v>0.917</v>
      </c>
      <c r="BV10" s="744">
        <v>1.02</v>
      </c>
      <c r="BW10" s="1888">
        <v>0.772</v>
      </c>
      <c r="BX10" s="1888">
        <v>1.225</v>
      </c>
      <c r="BY10" s="1905">
        <v>83500</v>
      </c>
    </row>
    <row r="11" spans="1:77" s="1904" customFormat="1" ht="19.5" customHeight="1">
      <c r="A11" s="744">
        <v>13</v>
      </c>
      <c r="B11" s="744" t="s">
        <v>1113</v>
      </c>
      <c r="C11" s="744">
        <v>6</v>
      </c>
      <c r="D11" s="1888" t="s">
        <v>1207</v>
      </c>
      <c r="E11" s="744" t="s">
        <v>1091</v>
      </c>
      <c r="F11" s="744">
        <v>2</v>
      </c>
      <c r="G11" s="1889">
        <v>70</v>
      </c>
      <c r="H11" s="1890">
        <v>35942</v>
      </c>
      <c r="I11" s="1891">
        <v>84400</v>
      </c>
      <c r="J11" s="744">
        <v>0</v>
      </c>
      <c r="K11" s="744">
        <v>100</v>
      </c>
      <c r="L11" s="744" t="s">
        <v>212</v>
      </c>
      <c r="M11" s="744">
        <v>31</v>
      </c>
      <c r="N11" s="744">
        <v>2</v>
      </c>
      <c r="O11" s="744">
        <v>1</v>
      </c>
      <c r="P11" s="1892">
        <v>4</v>
      </c>
      <c r="Q11" s="1892">
        <v>0</v>
      </c>
      <c r="R11" s="1893">
        <v>0</v>
      </c>
      <c r="S11" s="1893">
        <v>1</v>
      </c>
      <c r="T11" s="744">
        <v>2</v>
      </c>
      <c r="U11" s="1894">
        <v>4</v>
      </c>
      <c r="V11" s="744"/>
      <c r="W11" s="1894">
        <v>0</v>
      </c>
      <c r="X11" s="1893">
        <v>1</v>
      </c>
      <c r="Y11" s="1895" t="s">
        <v>574</v>
      </c>
      <c r="Z11" s="1896">
        <v>1</v>
      </c>
      <c r="AA11" s="1897">
        <v>0</v>
      </c>
      <c r="AB11" s="1892">
        <v>5</v>
      </c>
      <c r="AC11" s="1892">
        <v>8</v>
      </c>
      <c r="AD11" s="1893">
        <v>3</v>
      </c>
      <c r="AE11" s="1898">
        <v>1</v>
      </c>
      <c r="AF11" s="1899" t="s">
        <v>118</v>
      </c>
      <c r="AG11" s="1900">
        <v>5800</v>
      </c>
      <c r="AH11" s="1888" t="s">
        <v>1094</v>
      </c>
      <c r="AI11" s="1900">
        <v>400</v>
      </c>
      <c r="AJ11" s="1888" t="s">
        <v>1093</v>
      </c>
      <c r="AK11" s="1900">
        <v>1000</v>
      </c>
      <c r="AL11" s="1901" t="s">
        <v>119</v>
      </c>
      <c r="AM11" s="1902">
        <v>0</v>
      </c>
      <c r="AN11" s="1893">
        <v>0</v>
      </c>
      <c r="AO11" s="1893">
        <v>0</v>
      </c>
      <c r="AP11" s="1899" t="s">
        <v>58</v>
      </c>
      <c r="AQ11" s="744">
        <v>4</v>
      </c>
      <c r="AR11" s="744">
        <v>1</v>
      </c>
      <c r="AS11" s="744">
        <v>1</v>
      </c>
      <c r="AT11" s="744">
        <v>1</v>
      </c>
      <c r="AU11" s="744">
        <v>1</v>
      </c>
      <c r="AV11" s="744">
        <v>4</v>
      </c>
      <c r="AW11" s="744">
        <v>200</v>
      </c>
      <c r="AX11" s="744">
        <v>60</v>
      </c>
      <c r="AY11" s="744">
        <v>2</v>
      </c>
      <c r="AZ11" s="1893">
        <v>1</v>
      </c>
      <c r="BA11" s="1893">
        <v>1</v>
      </c>
      <c r="BB11" s="748" t="s">
        <v>1085</v>
      </c>
      <c r="BC11" s="1903">
        <v>0</v>
      </c>
      <c r="BD11" s="744">
        <v>4</v>
      </c>
      <c r="BE11" s="744">
        <v>4</v>
      </c>
      <c r="BF11" s="744">
        <v>4</v>
      </c>
      <c r="BG11" s="1888" t="s">
        <v>669</v>
      </c>
      <c r="BH11" s="1888" t="s">
        <v>1208</v>
      </c>
      <c r="BK11" s="744">
        <v>13</v>
      </c>
      <c r="BL11" s="744" t="s">
        <v>1113</v>
      </c>
      <c r="BM11" s="744">
        <v>6</v>
      </c>
      <c r="BN11" s="1888" t="s">
        <v>1207</v>
      </c>
      <c r="BO11" s="744" t="s">
        <v>1091</v>
      </c>
      <c r="BP11" s="744" t="s">
        <v>212</v>
      </c>
      <c r="BQ11" s="1888">
        <v>70</v>
      </c>
      <c r="BR11" s="1890">
        <v>35942</v>
      </c>
      <c r="BS11" s="1905">
        <v>84400</v>
      </c>
      <c r="BT11" s="744">
        <v>100</v>
      </c>
      <c r="BU11" s="744">
        <v>0.917</v>
      </c>
      <c r="BV11" s="744">
        <v>1.02</v>
      </c>
      <c r="BW11" s="1888">
        <v>0.772</v>
      </c>
      <c r="BX11" s="1888">
        <v>1.225</v>
      </c>
      <c r="BY11" s="1905">
        <v>83500</v>
      </c>
    </row>
    <row r="12" spans="1:77" s="340" customFormat="1" ht="19.5" customHeight="1">
      <c r="A12" s="315">
        <v>14</v>
      </c>
      <c r="B12" s="315" t="s">
        <v>1113</v>
      </c>
      <c r="C12" s="337">
        <v>7</v>
      </c>
      <c r="D12" s="341"/>
      <c r="E12" s="337"/>
      <c r="F12" s="337"/>
      <c r="G12" s="1123"/>
      <c r="H12" s="342"/>
      <c r="I12" s="1124"/>
      <c r="J12" s="337"/>
      <c r="K12" s="337"/>
      <c r="L12" s="337"/>
      <c r="M12" s="337"/>
      <c r="N12" s="337"/>
      <c r="O12" s="337"/>
      <c r="P12" s="1125"/>
      <c r="Q12" s="1125"/>
      <c r="R12" s="319"/>
      <c r="S12" s="319"/>
      <c r="T12" s="337"/>
      <c r="U12" s="327"/>
      <c r="V12" s="337"/>
      <c r="W12" s="327"/>
      <c r="X12" s="319"/>
      <c r="Y12" s="1128"/>
      <c r="Z12" s="329"/>
      <c r="AA12" s="330"/>
      <c r="AB12" s="1125"/>
      <c r="AC12" s="1125"/>
      <c r="AD12" s="319"/>
      <c r="AE12" s="331"/>
      <c r="AF12" s="332"/>
      <c r="AG12" s="1126"/>
      <c r="AH12" s="341"/>
      <c r="AI12" s="1126"/>
      <c r="AJ12" s="341"/>
      <c r="AK12" s="1126"/>
      <c r="AL12" s="341"/>
      <c r="AM12" s="1126"/>
      <c r="AN12" s="318"/>
      <c r="AO12" s="318"/>
      <c r="AP12" s="332"/>
      <c r="AQ12" s="335"/>
      <c r="AR12" s="337"/>
      <c r="AS12" s="337"/>
      <c r="AT12" s="337"/>
      <c r="AU12" s="337"/>
      <c r="AV12" s="337"/>
      <c r="AW12" s="337"/>
      <c r="AX12" s="337"/>
      <c r="AY12" s="337"/>
      <c r="AZ12" s="336">
        <v>1</v>
      </c>
      <c r="BA12" s="336">
        <v>1</v>
      </c>
      <c r="BB12" s="1119"/>
      <c r="BC12" s="338"/>
      <c r="BD12" s="337"/>
      <c r="BE12" s="337"/>
      <c r="BF12" s="337"/>
      <c r="BG12" s="339" t="s">
        <v>669</v>
      </c>
      <c r="BH12" s="1127"/>
      <c r="BK12" s="337">
        <v>14</v>
      </c>
      <c r="BL12" s="337" t="s">
        <v>1113</v>
      </c>
      <c r="BM12" s="337">
        <v>7</v>
      </c>
      <c r="BN12" s="341">
        <v>0</v>
      </c>
      <c r="BO12" s="337">
        <v>0</v>
      </c>
      <c r="BP12" s="337">
        <v>0</v>
      </c>
      <c r="BQ12" s="341">
        <v>0</v>
      </c>
      <c r="BR12" s="342">
        <v>0</v>
      </c>
      <c r="BS12" s="343">
        <v>0</v>
      </c>
      <c r="BT12" s="337">
        <v>0</v>
      </c>
      <c r="BU12" s="337">
        <v>0.9997</v>
      </c>
      <c r="BV12" s="337">
        <v>1.02</v>
      </c>
      <c r="BW12" s="341" t="e">
        <v>#DIV/0!</v>
      </c>
      <c r="BX12" s="341" t="e">
        <v>#N/A</v>
      </c>
      <c r="BY12" s="343" t="s">
        <v>997</v>
      </c>
    </row>
    <row r="13" spans="1:77" s="340" customFormat="1" ht="19.5" customHeight="1">
      <c r="A13" s="315">
        <v>15</v>
      </c>
      <c r="B13" s="315" t="s">
        <v>1113</v>
      </c>
      <c r="C13" s="337">
        <v>8</v>
      </c>
      <c r="D13" s="341"/>
      <c r="E13" s="337"/>
      <c r="F13" s="337"/>
      <c r="G13" s="1123"/>
      <c r="H13" s="342"/>
      <c r="I13" s="1124"/>
      <c r="J13" s="337"/>
      <c r="K13" s="337"/>
      <c r="L13" s="337"/>
      <c r="M13" s="337"/>
      <c r="N13" s="337"/>
      <c r="O13" s="337"/>
      <c r="P13" s="1125"/>
      <c r="Q13" s="1125"/>
      <c r="R13" s="319"/>
      <c r="S13" s="319"/>
      <c r="T13" s="337"/>
      <c r="U13" s="327"/>
      <c r="V13" s="337"/>
      <c r="W13" s="327"/>
      <c r="X13" s="319"/>
      <c r="Y13" s="1128"/>
      <c r="Z13" s="329"/>
      <c r="AA13" s="330"/>
      <c r="AB13" s="1125"/>
      <c r="AC13" s="1125"/>
      <c r="AD13" s="319"/>
      <c r="AE13" s="331"/>
      <c r="AF13" s="332"/>
      <c r="AG13" s="1126"/>
      <c r="AH13" s="341"/>
      <c r="AI13" s="1126"/>
      <c r="AJ13" s="341"/>
      <c r="AK13" s="1126"/>
      <c r="AL13" s="341"/>
      <c r="AM13" s="1126"/>
      <c r="AN13" s="318"/>
      <c r="AO13" s="318"/>
      <c r="AP13" s="332"/>
      <c r="AQ13" s="335"/>
      <c r="AR13" s="337"/>
      <c r="AS13" s="337"/>
      <c r="AT13" s="337"/>
      <c r="AU13" s="337"/>
      <c r="AV13" s="337"/>
      <c r="AW13" s="337"/>
      <c r="AX13" s="337"/>
      <c r="AY13" s="337"/>
      <c r="AZ13" s="336">
        <v>1</v>
      </c>
      <c r="BA13" s="336">
        <v>1</v>
      </c>
      <c r="BB13" s="1119"/>
      <c r="BC13" s="338"/>
      <c r="BD13" s="337"/>
      <c r="BE13" s="337"/>
      <c r="BF13" s="337"/>
      <c r="BG13" s="339" t="s">
        <v>669</v>
      </c>
      <c r="BH13" s="1127"/>
      <c r="BK13" s="337">
        <v>15</v>
      </c>
      <c r="BL13" s="337" t="s">
        <v>1113</v>
      </c>
      <c r="BM13" s="337">
        <v>8</v>
      </c>
      <c r="BN13" s="341">
        <v>0</v>
      </c>
      <c r="BO13" s="337">
        <v>0</v>
      </c>
      <c r="BP13" s="337">
        <v>0</v>
      </c>
      <c r="BQ13" s="341">
        <v>0</v>
      </c>
      <c r="BR13" s="342">
        <v>0</v>
      </c>
      <c r="BS13" s="343">
        <v>0</v>
      </c>
      <c r="BT13" s="337">
        <v>0</v>
      </c>
      <c r="BU13" s="337">
        <v>0.9997</v>
      </c>
      <c r="BV13" s="337">
        <v>1.02</v>
      </c>
      <c r="BW13" s="341" t="e">
        <v>#DIV/0!</v>
      </c>
      <c r="BX13" s="341" t="e">
        <v>#N/A</v>
      </c>
      <c r="BY13" s="343" t="s">
        <v>997</v>
      </c>
    </row>
    <row r="14" spans="1:77" s="340" customFormat="1" ht="19.5" customHeight="1">
      <c r="A14" s="315">
        <v>16</v>
      </c>
      <c r="B14" s="315" t="s">
        <v>1113</v>
      </c>
      <c r="C14" s="337">
        <v>9</v>
      </c>
      <c r="D14" s="341"/>
      <c r="E14" s="337"/>
      <c r="F14" s="337"/>
      <c r="G14" s="1123"/>
      <c r="H14" s="342"/>
      <c r="I14" s="1124"/>
      <c r="J14" s="337"/>
      <c r="K14" s="337"/>
      <c r="L14" s="337"/>
      <c r="M14" s="337"/>
      <c r="N14" s="337"/>
      <c r="O14" s="337"/>
      <c r="P14" s="1125"/>
      <c r="Q14" s="1125"/>
      <c r="R14" s="319"/>
      <c r="S14" s="319"/>
      <c r="T14" s="337"/>
      <c r="U14" s="327"/>
      <c r="V14" s="337"/>
      <c r="W14" s="327"/>
      <c r="X14" s="319"/>
      <c r="Y14" s="1128"/>
      <c r="Z14" s="329"/>
      <c r="AA14" s="330"/>
      <c r="AB14" s="1125"/>
      <c r="AC14" s="1125"/>
      <c r="AD14" s="319"/>
      <c r="AE14" s="331"/>
      <c r="AF14" s="332"/>
      <c r="AG14" s="1126"/>
      <c r="AH14" s="341"/>
      <c r="AI14" s="1126"/>
      <c r="AJ14" s="341"/>
      <c r="AK14" s="1126"/>
      <c r="AL14" s="341"/>
      <c r="AM14" s="1126"/>
      <c r="AN14" s="318"/>
      <c r="AO14" s="318"/>
      <c r="AP14" s="332"/>
      <c r="AQ14" s="335"/>
      <c r="AR14" s="337"/>
      <c r="AS14" s="337"/>
      <c r="AT14" s="337"/>
      <c r="AU14" s="337"/>
      <c r="AV14" s="337"/>
      <c r="AW14" s="337"/>
      <c r="AX14" s="337"/>
      <c r="AY14" s="337"/>
      <c r="AZ14" s="336">
        <v>1</v>
      </c>
      <c r="BA14" s="336">
        <v>1</v>
      </c>
      <c r="BB14" s="1119"/>
      <c r="BC14" s="338"/>
      <c r="BD14" s="337"/>
      <c r="BE14" s="337"/>
      <c r="BF14" s="337"/>
      <c r="BG14" s="339" t="s">
        <v>669</v>
      </c>
      <c r="BH14" s="1127"/>
      <c r="BK14" s="337">
        <v>16</v>
      </c>
      <c r="BL14" s="337" t="s">
        <v>1113</v>
      </c>
      <c r="BM14" s="337">
        <v>9</v>
      </c>
      <c r="BN14" s="341">
        <v>0</v>
      </c>
      <c r="BO14" s="337">
        <v>0</v>
      </c>
      <c r="BP14" s="337">
        <v>0</v>
      </c>
      <c r="BQ14" s="341">
        <v>0</v>
      </c>
      <c r="BR14" s="342">
        <v>0</v>
      </c>
      <c r="BS14" s="343">
        <v>0</v>
      </c>
      <c r="BT14" s="337">
        <v>0</v>
      </c>
      <c r="BU14" s="337">
        <v>0.9997</v>
      </c>
      <c r="BV14" s="337">
        <v>1.02</v>
      </c>
      <c r="BW14" s="341" t="e">
        <v>#DIV/0!</v>
      </c>
      <c r="BX14" s="341" t="e">
        <v>#N/A</v>
      </c>
      <c r="BY14" s="343" t="s">
        <v>997</v>
      </c>
    </row>
    <row r="15" spans="1:77" s="340" customFormat="1" ht="19.5" customHeight="1">
      <c r="A15" s="315">
        <v>17</v>
      </c>
      <c r="B15" s="315" t="s">
        <v>1113</v>
      </c>
      <c r="C15" s="337">
        <v>10</v>
      </c>
      <c r="D15" s="341"/>
      <c r="E15" s="337"/>
      <c r="F15" s="337"/>
      <c r="G15" s="1123"/>
      <c r="H15" s="342"/>
      <c r="I15" s="1124"/>
      <c r="J15" s="337"/>
      <c r="K15" s="337"/>
      <c r="L15" s="337"/>
      <c r="M15" s="337"/>
      <c r="N15" s="337"/>
      <c r="O15" s="337"/>
      <c r="P15" s="1125"/>
      <c r="Q15" s="1125"/>
      <c r="R15" s="319"/>
      <c r="S15" s="319"/>
      <c r="T15" s="337"/>
      <c r="U15" s="327"/>
      <c r="V15" s="337"/>
      <c r="W15" s="327"/>
      <c r="X15" s="319"/>
      <c r="Y15" s="1128"/>
      <c r="Z15" s="329"/>
      <c r="AA15" s="330"/>
      <c r="AB15" s="1125"/>
      <c r="AC15" s="1125"/>
      <c r="AD15" s="319"/>
      <c r="AE15" s="331"/>
      <c r="AF15" s="332"/>
      <c r="AG15" s="1126"/>
      <c r="AH15" s="341"/>
      <c r="AI15" s="1126"/>
      <c r="AJ15" s="341"/>
      <c r="AK15" s="1126"/>
      <c r="AL15" s="341"/>
      <c r="AM15" s="1126"/>
      <c r="AN15" s="318"/>
      <c r="AO15" s="318"/>
      <c r="AP15" s="332"/>
      <c r="AQ15" s="335"/>
      <c r="AR15" s="337"/>
      <c r="AS15" s="337"/>
      <c r="AT15" s="337"/>
      <c r="AU15" s="337"/>
      <c r="AV15" s="337"/>
      <c r="AW15" s="337"/>
      <c r="AX15" s="337"/>
      <c r="AY15" s="337"/>
      <c r="AZ15" s="336">
        <v>1</v>
      </c>
      <c r="BA15" s="336">
        <v>1</v>
      </c>
      <c r="BB15" s="1119"/>
      <c r="BC15" s="338"/>
      <c r="BD15" s="337"/>
      <c r="BE15" s="337"/>
      <c r="BF15" s="337"/>
      <c r="BG15" s="339" t="s">
        <v>669</v>
      </c>
      <c r="BH15" s="1127"/>
      <c r="BK15" s="337">
        <v>17</v>
      </c>
      <c r="BL15" s="337" t="s">
        <v>1113</v>
      </c>
      <c r="BM15" s="337">
        <v>10</v>
      </c>
      <c r="BN15" s="341">
        <v>0</v>
      </c>
      <c r="BO15" s="337">
        <v>0</v>
      </c>
      <c r="BP15" s="337">
        <v>0</v>
      </c>
      <c r="BQ15" s="341">
        <v>0</v>
      </c>
      <c r="BR15" s="342">
        <v>0</v>
      </c>
      <c r="BS15" s="343">
        <v>0</v>
      </c>
      <c r="BT15" s="337">
        <v>0</v>
      </c>
      <c r="BU15" s="337">
        <v>0.9997</v>
      </c>
      <c r="BV15" s="337">
        <v>1.02</v>
      </c>
      <c r="BW15" s="341" t="e">
        <v>#DIV/0!</v>
      </c>
      <c r="BX15" s="341" t="e">
        <v>#N/A</v>
      </c>
      <c r="BY15" s="343" t="s">
        <v>997</v>
      </c>
    </row>
    <row r="16" spans="6:77" s="305" customFormat="1" ht="21.75" customHeight="1">
      <c r="F16" s="1129"/>
      <c r="K16" s="304"/>
      <c r="L16" s="304"/>
      <c r="M16" s="304"/>
      <c r="N16" s="304"/>
      <c r="P16" s="304"/>
      <c r="R16" s="304"/>
      <c r="S16" s="304"/>
      <c r="T16" s="304"/>
      <c r="V16" s="304"/>
      <c r="W16" s="304"/>
      <c r="X16" s="304"/>
      <c r="Y16" s="1129"/>
      <c r="Z16" s="1130"/>
      <c r="AB16" s="304"/>
      <c r="AC16" s="304"/>
      <c r="AD16" s="304"/>
      <c r="AE16" s="304"/>
      <c r="AF16" s="304"/>
      <c r="AH16" s="304"/>
      <c r="AN16" s="304"/>
      <c r="AO16" s="304"/>
      <c r="AQ16" s="304"/>
      <c r="AR16" s="304"/>
      <c r="AS16" s="304"/>
      <c r="AT16" s="304"/>
      <c r="AU16" s="304"/>
      <c r="AV16" s="304"/>
      <c r="AW16" s="304"/>
      <c r="AX16" s="304"/>
      <c r="AY16" s="304"/>
      <c r="AZ16" s="304"/>
      <c r="BA16" s="304"/>
      <c r="BB16" s="304"/>
      <c r="BC16" s="304"/>
      <c r="BK16" s="304"/>
      <c r="BL16" s="304"/>
      <c r="BM16" s="304"/>
      <c r="BO16" s="304"/>
      <c r="BP16" s="304"/>
      <c r="BR16" s="37"/>
      <c r="BS16" s="21"/>
      <c r="BT16" s="304"/>
      <c r="BU16" s="304"/>
      <c r="BV16" s="304"/>
      <c r="BW16" s="1131"/>
      <c r="BX16" s="1131"/>
      <c r="BY16" s="21"/>
    </row>
    <row r="17" spans="6:77" s="305" customFormat="1" ht="21.75" customHeight="1">
      <c r="F17" s="1129"/>
      <c r="K17" s="304"/>
      <c r="L17" s="304"/>
      <c r="M17" s="304"/>
      <c r="N17" s="304"/>
      <c r="P17" s="304"/>
      <c r="R17" s="304"/>
      <c r="S17" s="304"/>
      <c r="T17" s="304"/>
      <c r="V17" s="304"/>
      <c r="W17" s="304"/>
      <c r="X17" s="304"/>
      <c r="Y17" s="1129"/>
      <c r="Z17" s="1130"/>
      <c r="AB17" s="304"/>
      <c r="AC17" s="304"/>
      <c r="AD17" s="304"/>
      <c r="AE17" s="304"/>
      <c r="AF17" s="304"/>
      <c r="AH17" s="304"/>
      <c r="AN17" s="304"/>
      <c r="AO17" s="304"/>
      <c r="AQ17" s="304"/>
      <c r="AR17" s="304"/>
      <c r="AS17" s="304"/>
      <c r="AT17" s="304"/>
      <c r="AU17" s="304"/>
      <c r="AV17" s="304"/>
      <c r="AW17" s="304"/>
      <c r="AX17" s="304"/>
      <c r="AY17" s="304"/>
      <c r="AZ17" s="304"/>
      <c r="BA17" s="304"/>
      <c r="BB17" s="304"/>
      <c r="BC17" s="304"/>
      <c r="BK17" s="304"/>
      <c r="BL17" s="304"/>
      <c r="BM17" s="304"/>
      <c r="BO17" s="304"/>
      <c r="BP17" s="304"/>
      <c r="BR17" s="37"/>
      <c r="BS17" s="21"/>
      <c r="BT17" s="304"/>
      <c r="BU17" s="304"/>
      <c r="BV17" s="304"/>
      <c r="BW17" s="1131"/>
      <c r="BX17" s="1131"/>
      <c r="BY17" s="21"/>
    </row>
    <row r="18" spans="1:77" s="305" customFormat="1" ht="21.75" customHeight="1">
      <c r="A18" s="305" t="s">
        <v>1167</v>
      </c>
      <c r="F18" s="1129"/>
      <c r="K18" s="304"/>
      <c r="L18" s="304"/>
      <c r="M18" s="304"/>
      <c r="N18" s="304"/>
      <c r="P18" s="304"/>
      <c r="R18" s="304"/>
      <c r="S18" s="304"/>
      <c r="T18" s="304"/>
      <c r="V18" s="304"/>
      <c r="W18" s="304"/>
      <c r="X18" s="304"/>
      <c r="Y18" s="1129"/>
      <c r="Z18" s="1130"/>
      <c r="AB18" s="304"/>
      <c r="AC18" s="304"/>
      <c r="AD18" s="304"/>
      <c r="AE18" s="304"/>
      <c r="AF18" s="304"/>
      <c r="AH18" s="304"/>
      <c r="AN18" s="304"/>
      <c r="AO18" s="304"/>
      <c r="AQ18" s="304"/>
      <c r="AR18" s="304"/>
      <c r="AS18" s="304"/>
      <c r="AT18" s="304"/>
      <c r="AU18" s="304"/>
      <c r="AV18" s="304"/>
      <c r="AW18" s="304"/>
      <c r="AX18" s="304"/>
      <c r="AY18" s="304"/>
      <c r="AZ18" s="304"/>
      <c r="BA18" s="304"/>
      <c r="BB18" s="304"/>
      <c r="BC18" s="304"/>
      <c r="BK18" s="304"/>
      <c r="BL18" s="304"/>
      <c r="BM18" s="304"/>
      <c r="BO18" s="304"/>
      <c r="BP18" s="304"/>
      <c r="BR18" s="37"/>
      <c r="BS18" s="21"/>
      <c r="BT18" s="304"/>
      <c r="BU18" s="304"/>
      <c r="BV18" s="304"/>
      <c r="BW18" s="1131"/>
      <c r="BX18" s="1131"/>
      <c r="BY18" s="21"/>
    </row>
    <row r="19" spans="58:70" ht="18">
      <c r="BF19" s="27"/>
      <c r="BG19" s="28"/>
      <c r="BH19" s="28"/>
      <c r="BI19" s="28"/>
      <c r="BJ19" s="29"/>
      <c r="BK19" s="28"/>
      <c r="BL19" s="29"/>
      <c r="BM19" s="29"/>
      <c r="BN19" s="30"/>
      <c r="BO19" s="31"/>
      <c r="BP19" s="21"/>
      <c r="BQ19" s="31"/>
      <c r="BR19" s="36"/>
    </row>
    <row r="20" spans="58:70" ht="18">
      <c r="BF20" s="27"/>
      <c r="BG20" s="28"/>
      <c r="BH20" s="28"/>
      <c r="BI20" s="28"/>
      <c r="BJ20" s="29"/>
      <c r="BK20" s="28"/>
      <c r="BL20" s="29"/>
      <c r="BM20" s="29"/>
      <c r="BN20" s="30"/>
      <c r="BO20" s="31"/>
      <c r="BP20" s="21"/>
      <c r="BQ20" s="31"/>
      <c r="BR20" s="36"/>
    </row>
    <row r="21" spans="58:70" ht="18">
      <c r="BF21" s="27"/>
      <c r="BG21" s="28"/>
      <c r="BH21" s="28"/>
      <c r="BI21" s="28"/>
      <c r="BJ21" s="29"/>
      <c r="BK21" s="28"/>
      <c r="BL21" s="29"/>
      <c r="BM21" s="29"/>
      <c r="BN21" s="30"/>
      <c r="BO21" s="31"/>
      <c r="BP21" s="21"/>
      <c r="BQ21" s="31"/>
      <c r="BR21" s="36"/>
    </row>
    <row r="22" spans="58:70" ht="18">
      <c r="BF22" s="27"/>
      <c r="BG22" s="28"/>
      <c r="BH22" s="28"/>
      <c r="BI22" s="28"/>
      <c r="BJ22" s="29"/>
      <c r="BK22" s="28"/>
      <c r="BL22" s="29"/>
      <c r="BM22" s="29"/>
      <c r="BN22" s="30"/>
      <c r="BO22" s="31"/>
      <c r="BP22" s="21"/>
      <c r="BQ22" s="31"/>
      <c r="BR22" s="36"/>
    </row>
    <row r="23" spans="58:70" ht="18">
      <c r="BF23" s="27"/>
      <c r="BG23" s="28"/>
      <c r="BH23" s="28"/>
      <c r="BI23" s="28"/>
      <c r="BJ23" s="29"/>
      <c r="BK23" s="28"/>
      <c r="BL23" s="29"/>
      <c r="BM23" s="29"/>
      <c r="BN23" s="30"/>
      <c r="BO23" s="31"/>
      <c r="BP23" s="21"/>
      <c r="BQ23" s="31"/>
      <c r="BR23" s="36"/>
    </row>
    <row r="24" spans="58:70" ht="18">
      <c r="BF24" s="27"/>
      <c r="BG24" s="28"/>
      <c r="BH24" s="28"/>
      <c r="BI24" s="28"/>
      <c r="BJ24" s="29"/>
      <c r="BK24" s="28"/>
      <c r="BL24" s="29"/>
      <c r="BM24" s="29"/>
      <c r="BN24" s="30"/>
      <c r="BO24" s="31"/>
      <c r="BP24" s="21"/>
      <c r="BQ24" s="31"/>
      <c r="BR24" s="36"/>
    </row>
    <row r="25" spans="58:70" ht="18">
      <c r="BF25" s="27"/>
      <c r="BG25" s="28"/>
      <c r="BH25" s="28"/>
      <c r="BI25" s="28"/>
      <c r="BJ25" s="29"/>
      <c r="BK25" s="28"/>
      <c r="BL25" s="29"/>
      <c r="BM25" s="29"/>
      <c r="BN25" s="30"/>
      <c r="BO25" s="31"/>
      <c r="BP25" s="21"/>
      <c r="BQ25" s="31"/>
      <c r="BR25" s="36"/>
    </row>
    <row r="26" spans="58:70" ht="18">
      <c r="BF26" s="27"/>
      <c r="BG26" s="28"/>
      <c r="BH26" s="28"/>
      <c r="BI26" s="28"/>
      <c r="BJ26" s="29"/>
      <c r="BK26" s="28"/>
      <c r="BL26" s="29"/>
      <c r="BM26" s="29"/>
      <c r="BN26" s="30"/>
      <c r="BO26" s="31"/>
      <c r="BP26" s="21"/>
      <c r="BQ26" s="31"/>
      <c r="BR26" s="36"/>
    </row>
    <row r="27" spans="58:70" ht="18">
      <c r="BF27" s="27"/>
      <c r="BG27" s="28"/>
      <c r="BH27" s="28"/>
      <c r="BI27" s="28"/>
      <c r="BJ27" s="29"/>
      <c r="BK27" s="28"/>
      <c r="BL27" s="29"/>
      <c r="BM27" s="29"/>
      <c r="BN27" s="30"/>
      <c r="BO27" s="31"/>
      <c r="BP27" s="21"/>
      <c r="BQ27" s="31"/>
      <c r="BR27" s="36"/>
    </row>
    <row r="28" spans="58:70" ht="18">
      <c r="BF28" s="27"/>
      <c r="BG28" s="28"/>
      <c r="BH28" s="28"/>
      <c r="BI28" s="28"/>
      <c r="BJ28" s="29"/>
      <c r="BK28" s="28"/>
      <c r="BL28" s="29"/>
      <c r="BM28" s="29"/>
      <c r="BN28" s="30"/>
      <c r="BO28" s="31"/>
      <c r="BP28" s="21"/>
      <c r="BQ28" s="31"/>
      <c r="BR28" s="36"/>
    </row>
    <row r="29" spans="58:70" ht="18">
      <c r="BF29" s="27"/>
      <c r="BG29" s="28"/>
      <c r="BH29" s="28"/>
      <c r="BI29" s="28"/>
      <c r="BJ29" s="29"/>
      <c r="BK29" s="28"/>
      <c r="BL29" s="29"/>
      <c r="BM29" s="29"/>
      <c r="BN29" s="30"/>
      <c r="BO29" s="31"/>
      <c r="BP29" s="21"/>
      <c r="BQ29" s="31"/>
      <c r="BR29" s="36"/>
    </row>
    <row r="30" spans="58:70" ht="18">
      <c r="BF30" s="27"/>
      <c r="BG30" s="28"/>
      <c r="BH30" s="28"/>
      <c r="BI30" s="28"/>
      <c r="BJ30" s="29"/>
      <c r="BK30" s="28"/>
      <c r="BL30" s="29"/>
      <c r="BM30" s="29"/>
      <c r="BN30" s="30"/>
      <c r="BO30" s="31"/>
      <c r="BP30" s="21"/>
      <c r="BQ30" s="31"/>
      <c r="BR30" s="36"/>
    </row>
    <row r="31" spans="58:70" ht="18">
      <c r="BF31" s="27"/>
      <c r="BG31" s="28"/>
      <c r="BH31" s="28"/>
      <c r="BI31" s="28"/>
      <c r="BJ31" s="29"/>
      <c r="BK31" s="28"/>
      <c r="BL31" s="29"/>
      <c r="BM31" s="29"/>
      <c r="BN31" s="30"/>
      <c r="BO31" s="31"/>
      <c r="BP31" s="21"/>
      <c r="BQ31" s="31"/>
      <c r="BR31" s="36"/>
    </row>
    <row r="32" spans="58:70" ht="18">
      <c r="BF32" s="27"/>
      <c r="BG32" s="28"/>
      <c r="BH32" s="28"/>
      <c r="BI32" s="28"/>
      <c r="BJ32" s="29"/>
      <c r="BK32" s="28"/>
      <c r="BL32" s="29"/>
      <c r="BM32" s="29"/>
      <c r="BN32" s="30"/>
      <c r="BO32" s="31"/>
      <c r="BP32" s="21"/>
      <c r="BQ32" s="31"/>
      <c r="BR32" s="36"/>
    </row>
    <row r="33" spans="58:70" ht="18">
      <c r="BF33" s="27"/>
      <c r="BG33" s="28"/>
      <c r="BH33" s="28"/>
      <c r="BI33" s="28"/>
      <c r="BJ33" s="29"/>
      <c r="BK33" s="28"/>
      <c r="BL33" s="29"/>
      <c r="BM33" s="29"/>
      <c r="BN33" s="30"/>
      <c r="BO33" s="31"/>
      <c r="BP33" s="21"/>
      <c r="BQ33" s="31"/>
      <c r="BR33" s="36"/>
    </row>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sheetData>
  <sheetProtection/>
  <printOptions/>
  <pageMargins left="0.9978125" right="0" top="0.7874015748031497" bottom="0" header="0.512" footer="0.512"/>
  <pageSetup orientation="landscape" paperSize="9" scale="90"/>
  <headerFooter alignWithMargins="0">
    <oddHeader>&amp;L&amp;F&amp;A&amp;C&amp;D&amp;T&amp;R&amp;P</oddHeader>
  </headerFooter>
</worksheet>
</file>

<file path=xl/worksheets/sheet8.xml><?xml version="1.0" encoding="utf-8"?>
<worksheet xmlns="http://schemas.openxmlformats.org/spreadsheetml/2006/main" xmlns:r="http://schemas.openxmlformats.org/officeDocument/2006/relationships">
  <sheetPr codeName="Sheet7"/>
  <dimension ref="A1:Z126"/>
  <sheetViews>
    <sheetView showGridLines="0" showZeros="0" defaultGridColor="0" zoomScale="125" zoomScaleNormal="125" colorId="8" workbookViewId="0" topLeftCell="A73">
      <selection activeCell="B90" sqref="B90"/>
    </sheetView>
  </sheetViews>
  <sheetFormatPr defaultColWidth="10.59765625" defaultRowHeight="15"/>
  <cols>
    <col min="1" max="2" width="12.59765625" style="550" customWidth="1"/>
    <col min="3" max="7" width="10.59765625" style="550" customWidth="1"/>
    <col min="8" max="8" width="10.59765625" style="52" customWidth="1"/>
    <col min="9" max="9" width="6.59765625" style="53" customWidth="1"/>
    <col min="10" max="10" width="14.59765625" style="53" customWidth="1"/>
    <col min="11" max="12" width="8.59765625" style="53" customWidth="1"/>
    <col min="13" max="13" width="10.59765625" style="53" customWidth="1"/>
    <col min="14" max="19" width="8.59765625" style="53" customWidth="1"/>
    <col min="20" max="20" width="28.59765625" style="53" customWidth="1"/>
    <col min="21" max="21" width="14.59765625" style="53" customWidth="1"/>
    <col min="22" max="22" width="12.59765625" style="53" customWidth="1"/>
    <col min="23" max="23" width="8.59765625" style="53" customWidth="1"/>
    <col min="24" max="24" width="12.59765625" style="53" customWidth="1"/>
    <col min="25" max="25" width="8.59765625" style="53" customWidth="1"/>
    <col min="26" max="26" width="12.59765625" style="53" customWidth="1"/>
    <col min="27" max="16384" width="10.59765625" style="52" customWidth="1"/>
  </cols>
  <sheetData>
    <row r="1" spans="1:26" s="51" customFormat="1" ht="19.5" customHeight="1">
      <c r="A1" s="372" t="s">
        <v>1063</v>
      </c>
      <c r="B1" s="373"/>
      <c r="C1" s="373"/>
      <c r="D1" s="373"/>
      <c r="E1" s="374" t="s">
        <v>669</v>
      </c>
      <c r="F1" s="375"/>
      <c r="G1" s="375"/>
      <c r="I1" s="1161" t="s">
        <v>155</v>
      </c>
      <c r="J1" s="1161"/>
      <c r="K1" s="1161"/>
      <c r="L1" s="1161"/>
      <c r="M1" s="1161"/>
      <c r="N1" s="1161"/>
      <c r="O1" s="1161"/>
      <c r="P1" s="1161"/>
      <c r="Q1" s="1161"/>
      <c r="R1" s="1161"/>
      <c r="S1" s="1161"/>
      <c r="T1" s="1161" t="s">
        <v>169</v>
      </c>
      <c r="U1" s="1161"/>
      <c r="V1" s="1161"/>
      <c r="W1" s="1161"/>
      <c r="X1" s="1161"/>
      <c r="Y1" s="1161"/>
      <c r="Z1" s="1803" t="s">
        <v>997</v>
      </c>
    </row>
    <row r="2" spans="1:26" s="51" customFormat="1" ht="19.5" customHeight="1" thickBot="1">
      <c r="A2" s="376" t="s">
        <v>913</v>
      </c>
      <c r="B2" s="377" t="str">
        <f>'評価書作成'!B13</f>
        <v>99999</v>
      </c>
      <c r="C2" s="377" t="s">
        <v>890</v>
      </c>
      <c r="D2" s="378">
        <f>'評価書作成'!F17</f>
        <v>255.69</v>
      </c>
      <c r="E2" s="379"/>
      <c r="F2" s="375"/>
      <c r="G2" s="375"/>
      <c r="I2" s="1161"/>
      <c r="J2" s="1248" t="s">
        <v>468</v>
      </c>
      <c r="K2" s="1161"/>
      <c r="L2" s="1161"/>
      <c r="M2" s="1161"/>
      <c r="N2" s="1161"/>
      <c r="O2" s="1161"/>
      <c r="P2" s="1161"/>
      <c r="Q2" s="1161"/>
      <c r="R2" s="1161"/>
      <c r="S2" s="1248" t="s">
        <v>997</v>
      </c>
      <c r="T2" s="1248" t="s">
        <v>877</v>
      </c>
      <c r="U2" s="1161"/>
      <c r="V2" s="1161"/>
      <c r="W2" s="1161"/>
      <c r="X2" s="1161"/>
      <c r="Y2" s="1161"/>
      <c r="Z2" s="1803" t="str">
        <f>B2&amp;"ー"&amp;B3</f>
        <v>99999ー1</v>
      </c>
    </row>
    <row r="3" spans="1:26" s="51" customFormat="1" ht="19.5" customHeight="1" thickTop="1">
      <c r="A3" s="376" t="s">
        <v>643</v>
      </c>
      <c r="B3" s="377">
        <f>'評価書作成'!C17</f>
        <v>1</v>
      </c>
      <c r="C3" s="380"/>
      <c r="D3" s="380"/>
      <c r="E3" s="380"/>
      <c r="F3" s="381"/>
      <c r="G3" s="381"/>
      <c r="I3" s="1162" t="str">
        <f>A2</f>
        <v>鑑定番号</v>
      </c>
      <c r="J3" s="1163"/>
      <c r="K3" s="1187" t="str">
        <f>"鑑第岐 "&amp;B2&amp;" 号"</f>
        <v>鑑第岐 99999 号</v>
      </c>
      <c r="L3" s="1163"/>
      <c r="M3" s="1163"/>
      <c r="N3" s="1804" t="str">
        <f>A4</f>
        <v>所在地</v>
      </c>
      <c r="O3" s="1805" t="str">
        <f>"    "&amp;B4</f>
        <v>    岐阜市長良山田町９丁目９９</v>
      </c>
      <c r="P3" s="1806"/>
      <c r="Q3" s="1806"/>
      <c r="R3" s="1806"/>
      <c r="S3" s="1807"/>
      <c r="T3" s="1735"/>
      <c r="U3" s="1735"/>
      <c r="V3" s="1735"/>
      <c r="W3" s="1738"/>
      <c r="X3" s="1738"/>
      <c r="Y3" s="1738"/>
      <c r="Z3" s="1739"/>
    </row>
    <row r="4" spans="1:26" s="51" customFormat="1" ht="19.5" customHeight="1" thickBot="1">
      <c r="A4" s="382" t="s">
        <v>459</v>
      </c>
      <c r="B4" s="383" t="str">
        <f>'評価書作成'!D17&amp;'評価書作成'!E17</f>
        <v>岐阜市長良山田町９丁目９９</v>
      </c>
      <c r="C4" s="384"/>
      <c r="D4" s="384"/>
      <c r="E4" s="385"/>
      <c r="F4" s="381"/>
      <c r="G4" s="381"/>
      <c r="I4" s="1808" t="str">
        <f>A3</f>
        <v>物件番号</v>
      </c>
      <c r="J4" s="1185"/>
      <c r="K4" s="1206" t="str">
        <f>B3&amp;"　号物件"</f>
        <v>1　号物件</v>
      </c>
      <c r="L4" s="1185"/>
      <c r="M4" s="1185"/>
      <c r="N4" s="1809" t="s">
        <v>915</v>
      </c>
      <c r="O4" s="1810">
        <f>'評価書作成'!F13</f>
        <v>36250</v>
      </c>
      <c r="P4" s="1811"/>
      <c r="Q4" s="1812" t="s">
        <v>1297</v>
      </c>
      <c r="R4" s="1884" t="str">
        <f>B5</f>
        <v>中部総合不動産鑑定(株)</v>
      </c>
      <c r="S4" s="1207"/>
      <c r="T4" s="1813" t="s">
        <v>364</v>
      </c>
      <c r="U4" s="1813" t="s">
        <v>365</v>
      </c>
      <c r="V4" s="1814" t="s">
        <v>379</v>
      </c>
      <c r="W4" s="1190"/>
      <c r="X4" s="1190"/>
      <c r="Y4" s="1190"/>
      <c r="Z4" s="1762"/>
    </row>
    <row r="5" spans="1:26" s="51" customFormat="1" ht="19.5" customHeight="1" thickTop="1">
      <c r="A5" s="382" t="s">
        <v>1297</v>
      </c>
      <c r="B5" s="386" t="s">
        <v>101</v>
      </c>
      <c r="C5" s="387"/>
      <c r="D5" s="388"/>
      <c r="E5" s="388"/>
      <c r="F5" s="381"/>
      <c r="G5" s="381"/>
      <c r="I5" s="1161"/>
      <c r="J5" s="1161"/>
      <c r="K5" s="1161"/>
      <c r="L5" s="1161"/>
      <c r="M5" s="1161"/>
      <c r="N5" s="1161"/>
      <c r="O5" s="1161"/>
      <c r="P5" s="1161"/>
      <c r="Q5" s="1161"/>
      <c r="R5" s="1161"/>
      <c r="S5" s="1161"/>
      <c r="T5" s="1755"/>
      <c r="U5" s="1755"/>
      <c r="V5" s="1755"/>
      <c r="W5" s="1220"/>
      <c r="X5" s="1220"/>
      <c r="Y5" s="1220"/>
      <c r="Z5" s="1790"/>
    </row>
    <row r="6" spans="1:26" s="51" customFormat="1" ht="19.5" customHeight="1" thickBot="1">
      <c r="A6" s="389" t="s">
        <v>380</v>
      </c>
      <c r="B6" s="390" t="s">
        <v>1064</v>
      </c>
      <c r="C6" s="390" t="s">
        <v>1078</v>
      </c>
      <c r="D6" s="391"/>
      <c r="E6" s="374" t="s">
        <v>1079</v>
      </c>
      <c r="F6" s="375"/>
      <c r="G6" s="375"/>
      <c r="I6" s="1248" t="s">
        <v>1080</v>
      </c>
      <c r="J6" s="1161"/>
      <c r="K6" s="1161"/>
      <c r="L6" s="1161"/>
      <c r="M6" s="1161" t="s">
        <v>465</v>
      </c>
      <c r="N6" s="1257"/>
      <c r="O6" s="1161"/>
      <c r="P6" s="1161"/>
      <c r="Q6" s="1161"/>
      <c r="R6" s="1161"/>
      <c r="S6" s="1161"/>
      <c r="T6" s="1735" t="s">
        <v>612</v>
      </c>
      <c r="U6" s="1735"/>
      <c r="V6" s="1735" t="s">
        <v>461</v>
      </c>
      <c r="W6" s="1738"/>
      <c r="X6" s="1738"/>
      <c r="Y6" s="1738"/>
      <c r="Z6" s="1739"/>
    </row>
    <row r="7" spans="1:26" s="51" customFormat="1" ht="19.5" customHeight="1" thickBot="1">
      <c r="A7" s="392" t="s">
        <v>219</v>
      </c>
      <c r="B7" s="393" t="s">
        <v>61</v>
      </c>
      <c r="C7" s="394" t="s">
        <v>62</v>
      </c>
      <c r="D7" s="375"/>
      <c r="E7" s="395">
        <v>0.05</v>
      </c>
      <c r="F7" s="396"/>
      <c r="G7" s="396"/>
      <c r="I7" s="1815" t="s">
        <v>765</v>
      </c>
      <c r="J7" s="1816"/>
      <c r="K7" s="1816"/>
      <c r="L7" s="1816"/>
      <c r="M7" s="1816"/>
      <c r="N7" s="1815" t="s">
        <v>979</v>
      </c>
      <c r="O7" s="1816"/>
      <c r="P7" s="1816"/>
      <c r="Q7" s="1816"/>
      <c r="R7" s="1816"/>
      <c r="S7" s="1817"/>
      <c r="T7" s="1755"/>
      <c r="U7" s="1783">
        <f>ROUND(D54*B61,0)</f>
        <v>293334</v>
      </c>
      <c r="V7" s="1742">
        <f>D54</f>
        <v>4888892</v>
      </c>
      <c r="W7" s="1180" t="s">
        <v>431</v>
      </c>
      <c r="X7" s="1760">
        <f>B61</f>
        <v>0.06</v>
      </c>
      <c r="Y7" s="1220"/>
      <c r="Z7" s="1790"/>
    </row>
    <row r="8" spans="1:26" s="51" customFormat="1" ht="19.5" customHeight="1">
      <c r="A8" s="397" t="s">
        <v>1127</v>
      </c>
      <c r="B8" s="398">
        <v>0</v>
      </c>
      <c r="C8" s="399">
        <f>B40</f>
        <v>150</v>
      </c>
      <c r="D8" s="390" t="s">
        <v>1128</v>
      </c>
      <c r="E8" s="391"/>
      <c r="F8" s="391"/>
      <c r="G8" s="391"/>
      <c r="I8" s="1737" t="s">
        <v>780</v>
      </c>
      <c r="J8" s="1818" t="str">
        <f>B7</f>
        <v>未利用空地</v>
      </c>
      <c r="K8" s="1819"/>
      <c r="L8" s="1798" t="s">
        <v>1127</v>
      </c>
      <c r="M8" s="1780">
        <f>B8</f>
        <v>0</v>
      </c>
      <c r="N8" s="1820" t="s">
        <v>835</v>
      </c>
      <c r="O8" s="1821" t="str">
        <f>B12</f>
        <v>二住居</v>
      </c>
      <c r="P8" s="1822"/>
      <c r="Q8" s="1882" t="s">
        <v>437</v>
      </c>
      <c r="R8" s="1823">
        <f>B14</f>
        <v>0.6</v>
      </c>
      <c r="S8" s="1824"/>
      <c r="T8" s="1735" t="s">
        <v>781</v>
      </c>
      <c r="U8" s="1784"/>
      <c r="V8" s="1735" t="s">
        <v>1188</v>
      </c>
      <c r="W8" s="1825"/>
      <c r="X8" s="1825"/>
      <c r="Y8" s="1738"/>
      <c r="Z8" s="1739"/>
    </row>
    <row r="9" spans="1:26" s="51" customFormat="1" ht="19.5" customHeight="1">
      <c r="A9" s="400" t="s">
        <v>1189</v>
      </c>
      <c r="B9" s="401">
        <v>0</v>
      </c>
      <c r="C9" s="402" t="s">
        <v>63</v>
      </c>
      <c r="D9" s="390"/>
      <c r="E9" s="391"/>
      <c r="F9" s="391"/>
      <c r="G9" s="391"/>
      <c r="I9" s="1755"/>
      <c r="J9" s="1826" t="str">
        <f>C7</f>
        <v>賃貸住宅</v>
      </c>
      <c r="K9" s="1827"/>
      <c r="L9" s="1828" t="s">
        <v>170</v>
      </c>
      <c r="M9" s="1781">
        <f>B40</f>
        <v>150</v>
      </c>
      <c r="N9" s="1829" t="s">
        <v>802</v>
      </c>
      <c r="O9" s="1211" t="str">
        <f>B13</f>
        <v>準防火地域</v>
      </c>
      <c r="P9" s="1830"/>
      <c r="Q9" s="1883" t="s">
        <v>447</v>
      </c>
      <c r="R9" s="1831">
        <f>B15</f>
        <v>2</v>
      </c>
      <c r="S9" s="1832"/>
      <c r="T9" s="1755"/>
      <c r="U9" s="1783">
        <f>ROUND(D50*B62,0)</f>
        <v>133704</v>
      </c>
      <c r="V9" s="1742">
        <f>D50</f>
        <v>4456800</v>
      </c>
      <c r="W9" s="1180" t="s">
        <v>431</v>
      </c>
      <c r="X9" s="1760">
        <f>B62</f>
        <v>0.03</v>
      </c>
      <c r="Y9" s="1220"/>
      <c r="Z9" s="1790"/>
    </row>
    <row r="10" spans="1:26" s="51" customFormat="1" ht="19.5" customHeight="1">
      <c r="A10" s="400" t="s">
        <v>1241</v>
      </c>
      <c r="B10" s="403">
        <v>0</v>
      </c>
      <c r="C10" s="404">
        <f>B49</f>
        <v>300</v>
      </c>
      <c r="D10" s="390" t="s">
        <v>1128</v>
      </c>
      <c r="E10" s="391"/>
      <c r="F10" s="391"/>
      <c r="G10" s="391"/>
      <c r="I10" s="1737" t="s">
        <v>1242</v>
      </c>
      <c r="J10" s="1818">
        <f>B9</f>
        <v>0</v>
      </c>
      <c r="K10" s="1819"/>
      <c r="L10" s="1798" t="s">
        <v>1241</v>
      </c>
      <c r="M10" s="1780">
        <f>B10</f>
        <v>0</v>
      </c>
      <c r="N10" s="1798" t="s">
        <v>569</v>
      </c>
      <c r="O10" s="1738"/>
      <c r="P10" s="1798" t="s">
        <v>430</v>
      </c>
      <c r="Q10" s="1735" t="str">
        <f>"　前面道路：　"&amp;B16&amp;"ｍ"</f>
        <v>　前面道路：　5.5ｍ</v>
      </c>
      <c r="R10" s="1738"/>
      <c r="S10" s="1833"/>
      <c r="T10" s="1735" t="s">
        <v>173</v>
      </c>
      <c r="U10" s="1784">
        <f>IF(B73=1,B76,B63)</f>
        <v>40808</v>
      </c>
      <c r="V10" s="1834" t="str">
        <f>IF(B73=1,"　推定課税額＝"&amp;E74&amp;"（正常価格）×（"&amp;F74&amp;"×"&amp;F76&amp;"）×面積×税率","　実額による")</f>
        <v>　推定課税額＝95000（正常価格）×（0.15×0.7）×面積×税率</v>
      </c>
      <c r="W10" s="1816"/>
      <c r="X10" s="1816"/>
      <c r="Y10" s="1738"/>
      <c r="Z10" s="1739"/>
    </row>
    <row r="11" spans="1:26" s="51" customFormat="1" ht="19.5" customHeight="1">
      <c r="A11" s="400" t="s">
        <v>676</v>
      </c>
      <c r="B11" s="391"/>
      <c r="C11" s="391"/>
      <c r="D11" s="391"/>
      <c r="E11" s="391"/>
      <c r="F11" s="391"/>
      <c r="G11" s="391"/>
      <c r="I11" s="1813" t="s">
        <v>677</v>
      </c>
      <c r="J11" s="1826" t="str">
        <f>C9</f>
        <v>Ｓ２</v>
      </c>
      <c r="K11" s="1827"/>
      <c r="L11" s="1828" t="s">
        <v>170</v>
      </c>
      <c r="M11" s="1781">
        <f>B49</f>
        <v>300</v>
      </c>
      <c r="N11" s="1828" t="s">
        <v>170</v>
      </c>
      <c r="O11" s="1782">
        <f>D2</f>
        <v>255.69</v>
      </c>
      <c r="P11" s="1801" t="s">
        <v>678</v>
      </c>
      <c r="Q11" s="1755" t="str">
        <f>"　特定道路までの距離"&amp;B17&amp;"　ｍ"</f>
        <v>　特定道路までの距離　　ｍ</v>
      </c>
      <c r="R11" s="1161"/>
      <c r="S11" s="1835"/>
      <c r="T11" s="1786" t="s">
        <v>174</v>
      </c>
      <c r="U11" s="1785">
        <f>ROUND(E90*B64*B65,0)</f>
        <v>300000</v>
      </c>
      <c r="V11" s="1791">
        <f>E90</f>
        <v>37500000</v>
      </c>
      <c r="W11" s="1792" t="s">
        <v>431</v>
      </c>
      <c r="X11" s="1793">
        <f>B64</f>
        <v>0.5</v>
      </c>
      <c r="Y11" s="1792" t="s">
        <v>431</v>
      </c>
      <c r="Z11" s="1794">
        <f>B65</f>
        <v>0.016</v>
      </c>
    </row>
    <row r="12" spans="1:26" s="51" customFormat="1" ht="19.5" customHeight="1">
      <c r="A12" s="400" t="s">
        <v>835</v>
      </c>
      <c r="B12" s="405" t="str">
        <f>VLOOKUP('評価書作成'!M17,用途地域,2)</f>
        <v>二住居</v>
      </c>
      <c r="C12" s="406"/>
      <c r="D12" s="391" t="s">
        <v>997</v>
      </c>
      <c r="E12" s="391" t="s">
        <v>669</v>
      </c>
      <c r="F12" s="391"/>
      <c r="G12" s="391"/>
      <c r="I12" s="1815" t="s">
        <v>386</v>
      </c>
      <c r="J12" s="1816"/>
      <c r="K12" s="1735" t="str">
        <f>"   "&amp;B18</f>
        <v>   対象不動産の現況にかかわらず、対象地の収益力判定の</v>
      </c>
      <c r="L12" s="1738"/>
      <c r="M12" s="1738"/>
      <c r="N12" s="1738"/>
      <c r="O12" s="1738"/>
      <c r="P12" s="1836" t="str">
        <f>E52</f>
        <v>利用容積率</v>
      </c>
      <c r="Q12" s="1837" t="s">
        <v>844</v>
      </c>
      <c r="R12" s="1231"/>
      <c r="S12" s="1838"/>
      <c r="T12" s="1735" t="s">
        <v>1049</v>
      </c>
      <c r="U12" s="1784"/>
      <c r="V12" s="1735" t="s">
        <v>902</v>
      </c>
      <c r="W12" s="1738"/>
      <c r="X12" s="1825"/>
      <c r="Y12" s="1738"/>
      <c r="Z12" s="1739"/>
    </row>
    <row r="13" spans="1:26" s="51" customFormat="1" ht="19.5" customHeight="1">
      <c r="A13" s="400" t="s">
        <v>903</v>
      </c>
      <c r="B13" s="405" t="str">
        <f>VLOOKUP('評価書作成'!N17,'比準表入力'!F153:H155,2)</f>
        <v>準防火地域</v>
      </c>
      <c r="C13" s="407" t="s">
        <v>997</v>
      </c>
      <c r="D13" s="408" t="s">
        <v>997</v>
      </c>
      <c r="E13" s="391"/>
      <c r="F13" s="391"/>
      <c r="G13" s="391"/>
      <c r="I13" s="1839" t="s">
        <v>304</v>
      </c>
      <c r="J13" s="1160"/>
      <c r="K13" s="1751" t="str">
        <f>"   "&amp;B19</f>
        <v>   基礎資料として、賃貸建物の建設を想定する。</v>
      </c>
      <c r="L13" s="1215"/>
      <c r="M13" s="1215"/>
      <c r="N13" s="1215"/>
      <c r="O13" s="1215"/>
      <c r="P13" s="1840">
        <f>F52</f>
        <v>1.1732957878681216</v>
      </c>
      <c r="Q13" s="1841" t="str">
        <f>IF(C40=1,B20,0)</f>
        <v>外階段である。</v>
      </c>
      <c r="R13" s="1160"/>
      <c r="S13" s="1349"/>
      <c r="T13" s="1755"/>
      <c r="U13" s="1783">
        <f>ROUND(E90*B66,0)</f>
        <v>37500</v>
      </c>
      <c r="V13" s="1742">
        <f>E90</f>
        <v>37500000</v>
      </c>
      <c r="W13" s="1180" t="s">
        <v>431</v>
      </c>
      <c r="X13" s="1760">
        <f>B66</f>
        <v>0.001</v>
      </c>
      <c r="Y13" s="1220"/>
      <c r="Z13" s="1790"/>
    </row>
    <row r="14" spans="1:26" s="51" customFormat="1" ht="19.5" customHeight="1">
      <c r="A14" s="400" t="s">
        <v>437</v>
      </c>
      <c r="B14" s="409">
        <f>'評価書作成'!P17/100</f>
        <v>0.6</v>
      </c>
      <c r="C14" s="410"/>
      <c r="D14" s="391"/>
      <c r="E14" s="391"/>
      <c r="F14" s="391"/>
      <c r="G14" s="391"/>
      <c r="I14" s="1220"/>
      <c r="J14" s="1220"/>
      <c r="K14" s="1220"/>
      <c r="L14" s="1220"/>
      <c r="M14" s="1220"/>
      <c r="N14" s="1220"/>
      <c r="O14" s="1220"/>
      <c r="P14" s="1220"/>
      <c r="Q14" s="1220"/>
      <c r="R14" s="1220"/>
      <c r="S14" s="1220"/>
      <c r="T14" s="1735" t="s">
        <v>305</v>
      </c>
      <c r="U14" s="1735"/>
      <c r="V14" s="1735"/>
      <c r="W14" s="1738"/>
      <c r="X14" s="1738"/>
      <c r="Y14" s="1738"/>
      <c r="Z14" s="1739"/>
    </row>
    <row r="15" spans="1:26" s="51" customFormat="1" ht="19.5" customHeight="1">
      <c r="A15" s="400" t="s">
        <v>447</v>
      </c>
      <c r="B15" s="409">
        <f>'評価書作成'!O17/100</f>
        <v>2</v>
      </c>
      <c r="C15" s="411" t="str">
        <f>IF(B49&gt;D2*B15,"基準容積率違反","基準容積率以内")</f>
        <v>基準容積率以内</v>
      </c>
      <c r="D15" s="412"/>
      <c r="E15" s="412"/>
      <c r="F15" s="412"/>
      <c r="G15" s="412"/>
      <c r="I15" s="1248" t="s">
        <v>624</v>
      </c>
      <c r="J15" s="1161"/>
      <c r="K15" s="1161"/>
      <c r="L15" s="1161"/>
      <c r="M15" s="1161"/>
      <c r="N15" s="1161"/>
      <c r="O15" s="1161"/>
      <c r="P15" s="1161"/>
      <c r="Q15" s="1161"/>
      <c r="R15" s="1161"/>
      <c r="S15" s="1161"/>
      <c r="T15" s="1755"/>
      <c r="U15" s="1786" t="s">
        <v>998</v>
      </c>
      <c r="V15" s="1755" t="s">
        <v>320</v>
      </c>
      <c r="W15" s="1220"/>
      <c r="X15" s="1220"/>
      <c r="Y15" s="1220"/>
      <c r="Z15" s="1790"/>
    </row>
    <row r="16" spans="1:26" s="51" customFormat="1" ht="19.5" customHeight="1">
      <c r="A16" s="413" t="s">
        <v>327</v>
      </c>
      <c r="B16" s="414">
        <f>'演算data'!C50</f>
        <v>5.5</v>
      </c>
      <c r="C16" s="411" t="s">
        <v>669</v>
      </c>
      <c r="D16" s="415">
        <f>ROUND(B16*0.4,3)</f>
        <v>2.2</v>
      </c>
      <c r="E16" s="375"/>
      <c r="F16" s="375"/>
      <c r="G16" s="375"/>
      <c r="I16" s="1735"/>
      <c r="J16" s="1735" t="s">
        <v>329</v>
      </c>
      <c r="K16" s="1735" t="s">
        <v>664</v>
      </c>
      <c r="L16" s="1735" t="s">
        <v>815</v>
      </c>
      <c r="M16" s="1735" t="s">
        <v>703</v>
      </c>
      <c r="N16" s="1735" t="s">
        <v>704</v>
      </c>
      <c r="O16" s="1735" t="s">
        <v>705</v>
      </c>
      <c r="P16" s="1735" t="s">
        <v>301</v>
      </c>
      <c r="Q16" s="1738"/>
      <c r="R16" s="1735" t="s">
        <v>167</v>
      </c>
      <c r="S16" s="1739"/>
      <c r="T16" s="1735" t="s">
        <v>708</v>
      </c>
      <c r="U16" s="1735"/>
      <c r="V16" s="1735" t="s">
        <v>709</v>
      </c>
      <c r="W16" s="1738"/>
      <c r="X16" s="1738"/>
      <c r="Y16" s="1738"/>
      <c r="Z16" s="1739"/>
    </row>
    <row r="17" spans="1:26" s="51" customFormat="1" ht="19.5" customHeight="1" thickBot="1">
      <c r="A17" s="392" t="s">
        <v>710</v>
      </c>
      <c r="B17" s="416" t="s">
        <v>669</v>
      </c>
      <c r="C17" s="411" t="s">
        <v>669</v>
      </c>
      <c r="D17" s="415">
        <f>ROUND(B16*0.6,3)</f>
        <v>3.3</v>
      </c>
      <c r="E17" s="375"/>
      <c r="F17" s="375"/>
      <c r="G17" s="375"/>
      <c r="I17" s="1813" t="s">
        <v>677</v>
      </c>
      <c r="J17" s="1813" t="s">
        <v>711</v>
      </c>
      <c r="K17" s="1813" t="s">
        <v>1101</v>
      </c>
      <c r="L17" s="1813" t="s">
        <v>542</v>
      </c>
      <c r="M17" s="1755" t="s">
        <v>171</v>
      </c>
      <c r="N17" s="1813" t="s">
        <v>543</v>
      </c>
      <c r="O17" s="1813" t="s">
        <v>544</v>
      </c>
      <c r="P17" s="1814" t="s">
        <v>545</v>
      </c>
      <c r="Q17" s="1190"/>
      <c r="R17" s="1814" t="s">
        <v>215</v>
      </c>
      <c r="S17" s="1762"/>
      <c r="T17" s="1755"/>
      <c r="U17" s="1783">
        <f>ROUND(D54*B67/12,0)</f>
        <v>203704</v>
      </c>
      <c r="V17" s="1742">
        <f>D54</f>
        <v>4888892</v>
      </c>
      <c r="W17" s="1180" t="s">
        <v>431</v>
      </c>
      <c r="X17" s="1190" t="str">
        <f>B67&amp;" 月／１２月"</f>
        <v>0.5 月／１２月</v>
      </c>
      <c r="Y17" s="1190"/>
      <c r="Z17" s="1790"/>
    </row>
    <row r="18" spans="1:26" s="51" customFormat="1" ht="19.5" customHeight="1">
      <c r="A18" s="392" t="s">
        <v>531</v>
      </c>
      <c r="B18" s="417" t="s">
        <v>518</v>
      </c>
      <c r="C18" s="418"/>
      <c r="D18" s="418"/>
      <c r="E18" s="419"/>
      <c r="F18" s="375"/>
      <c r="G18" s="375"/>
      <c r="I18" s="1751"/>
      <c r="J18" s="1828" t="s">
        <v>170</v>
      </c>
      <c r="K18" s="1842" t="s">
        <v>434</v>
      </c>
      <c r="L18" s="1828" t="s">
        <v>170</v>
      </c>
      <c r="M18" s="1751" t="s">
        <v>435</v>
      </c>
      <c r="N18" s="1843" t="s">
        <v>306</v>
      </c>
      <c r="O18" s="1843" t="s">
        <v>307</v>
      </c>
      <c r="P18" s="1751" t="s">
        <v>669</v>
      </c>
      <c r="Q18" s="1764" t="s">
        <v>1022</v>
      </c>
      <c r="R18" s="1751" t="s">
        <v>669</v>
      </c>
      <c r="S18" s="1844" t="s">
        <v>1022</v>
      </c>
      <c r="T18" s="1735" t="s">
        <v>216</v>
      </c>
      <c r="U18" s="1784"/>
      <c r="V18" s="1735" t="s">
        <v>590</v>
      </c>
      <c r="W18" s="1738"/>
      <c r="X18" s="1738"/>
      <c r="Y18" s="1738"/>
      <c r="Z18" s="1739"/>
    </row>
    <row r="19" spans="1:26" s="51" customFormat="1" ht="19.5" customHeight="1" thickBot="1">
      <c r="A19" s="392" t="s">
        <v>591</v>
      </c>
      <c r="B19" s="420" t="s">
        <v>579</v>
      </c>
      <c r="C19" s="421"/>
      <c r="D19" s="421"/>
      <c r="E19" s="422"/>
      <c r="F19" s="375"/>
      <c r="G19" s="375"/>
      <c r="I19" s="1778">
        <f>A40</f>
        <v>1</v>
      </c>
      <c r="J19" s="1733"/>
      <c r="K19" s="1734"/>
      <c r="L19" s="1733"/>
      <c r="M19" s="1735"/>
      <c r="N19" s="1736"/>
      <c r="O19" s="1737">
        <f>E40</f>
        <v>3</v>
      </c>
      <c r="P19" s="1735"/>
      <c r="Q19" s="1738"/>
      <c r="R19" s="1735"/>
      <c r="S19" s="1739"/>
      <c r="T19" s="1755"/>
      <c r="U19" s="1783">
        <f>ROUND(E90*B68,0)</f>
        <v>37500</v>
      </c>
      <c r="V19" s="1742">
        <f>E90</f>
        <v>37500000</v>
      </c>
      <c r="W19" s="1180" t="s">
        <v>431</v>
      </c>
      <c r="X19" s="1760">
        <f>B68</f>
        <v>0.001</v>
      </c>
      <c r="Y19" s="1220"/>
      <c r="Z19" s="1790"/>
    </row>
    <row r="20" spans="1:26" s="51" customFormat="1" ht="19.5" customHeight="1" thickBot="1">
      <c r="A20" s="423" t="s">
        <v>580</v>
      </c>
      <c r="B20" s="424" t="s">
        <v>331</v>
      </c>
      <c r="C20" s="425"/>
      <c r="D20" s="426" t="s">
        <v>961</v>
      </c>
      <c r="E20" s="426"/>
      <c r="F20" s="375"/>
      <c r="G20" s="375"/>
      <c r="I20" s="1779"/>
      <c r="J20" s="1740">
        <f>B40</f>
        <v>150</v>
      </c>
      <c r="K20" s="1741">
        <f>C40</f>
        <v>1</v>
      </c>
      <c r="L20" s="1740">
        <f>ROUND(J20*K20,2)</f>
        <v>150</v>
      </c>
      <c r="M20" s="1742">
        <f>D40</f>
        <v>1238</v>
      </c>
      <c r="N20" s="1743">
        <f>ROUND(M20*L20,0)</f>
        <v>185700</v>
      </c>
      <c r="O20" s="1744">
        <f>F40</f>
        <v>1</v>
      </c>
      <c r="P20" s="1745">
        <f>N20*O19</f>
        <v>557100</v>
      </c>
      <c r="Q20" s="1746"/>
      <c r="R20" s="1745">
        <f>N20*O20</f>
        <v>185700</v>
      </c>
      <c r="S20" s="1747"/>
      <c r="T20" s="1735" t="s">
        <v>317</v>
      </c>
      <c r="U20" s="1784"/>
      <c r="V20" s="1735"/>
      <c r="W20" s="1738"/>
      <c r="X20" s="1738"/>
      <c r="Y20" s="1738"/>
      <c r="Z20" s="1739"/>
    </row>
    <row r="21" spans="1:26" s="51" customFormat="1" ht="19.5" customHeight="1">
      <c r="A21" s="375"/>
      <c r="B21" s="427"/>
      <c r="C21" s="428"/>
      <c r="D21" s="375"/>
      <c r="E21" s="375"/>
      <c r="F21" s="375"/>
      <c r="G21" s="375"/>
      <c r="I21" s="1778">
        <f>A41</f>
        <v>2</v>
      </c>
      <c r="J21" s="1748"/>
      <c r="K21" s="1734"/>
      <c r="L21" s="1748" t="s">
        <v>669</v>
      </c>
      <c r="M21" s="1735"/>
      <c r="N21" s="1736"/>
      <c r="O21" s="1737">
        <f>E41</f>
        <v>3</v>
      </c>
      <c r="P21" s="1735"/>
      <c r="Q21" s="1738"/>
      <c r="R21" s="1735"/>
      <c r="S21" s="1739"/>
      <c r="T21" s="1751"/>
      <c r="U21" s="1787">
        <f>B69</f>
        <v>0</v>
      </c>
      <c r="V21" s="1751">
        <f>B70</f>
        <v>0</v>
      </c>
      <c r="W21" s="1215"/>
      <c r="X21" s="1215"/>
      <c r="Y21" s="1215"/>
      <c r="Z21" s="1845"/>
    </row>
    <row r="22" spans="1:26" s="51" customFormat="1" ht="19.5" customHeight="1">
      <c r="A22" s="375" t="s">
        <v>547</v>
      </c>
      <c r="B22" s="427"/>
      <c r="C22" s="428"/>
      <c r="D22" s="375"/>
      <c r="E22" s="374" t="s">
        <v>669</v>
      </c>
      <c r="F22" s="375"/>
      <c r="G22" s="375"/>
      <c r="I22" s="1779"/>
      <c r="J22" s="1740">
        <f>B41</f>
        <v>150</v>
      </c>
      <c r="K22" s="1741">
        <f>C41</f>
        <v>1</v>
      </c>
      <c r="L22" s="1740">
        <f>ROUND(J22*K22,2)</f>
        <v>150</v>
      </c>
      <c r="M22" s="1742">
        <f>D41</f>
        <v>1238</v>
      </c>
      <c r="N22" s="1743">
        <f>ROUND(M22*L22,0)</f>
        <v>185700</v>
      </c>
      <c r="O22" s="1744">
        <f>F41</f>
        <v>1</v>
      </c>
      <c r="P22" s="1745">
        <f>N22*O21</f>
        <v>557100</v>
      </c>
      <c r="Q22" s="1746"/>
      <c r="R22" s="1745">
        <f>N22*O22</f>
        <v>185700</v>
      </c>
      <c r="S22" s="1747"/>
      <c r="T22" s="1755" t="s">
        <v>821</v>
      </c>
      <c r="U22" s="1755"/>
      <c r="V22" s="1220"/>
      <c r="W22" s="1220"/>
      <c r="X22" s="1220"/>
      <c r="Y22" s="1220"/>
      <c r="Z22" s="1790"/>
    </row>
    <row r="23" spans="1:26" s="51" customFormat="1" ht="19.5" customHeight="1">
      <c r="A23" s="429" t="s">
        <v>344</v>
      </c>
      <c r="B23" s="429" t="s">
        <v>1000</v>
      </c>
      <c r="C23" s="430" t="s">
        <v>529</v>
      </c>
      <c r="D23" s="429" t="s">
        <v>586</v>
      </c>
      <c r="E23" s="431" t="s">
        <v>587</v>
      </c>
      <c r="F23" s="431" t="s">
        <v>1069</v>
      </c>
      <c r="G23" s="375"/>
      <c r="I23" s="1778">
        <f>A42</f>
        <v>0</v>
      </c>
      <c r="J23" s="1748"/>
      <c r="K23" s="1734"/>
      <c r="L23" s="1748"/>
      <c r="M23" s="1735"/>
      <c r="N23" s="1736"/>
      <c r="O23" s="1737">
        <f>E42</f>
        <v>0</v>
      </c>
      <c r="P23" s="1735"/>
      <c r="Q23" s="1738"/>
      <c r="R23" s="1735"/>
      <c r="S23" s="1739"/>
      <c r="T23" s="1843" t="s">
        <v>753</v>
      </c>
      <c r="U23" s="1787">
        <f>SUM(U6:U21)</f>
        <v>1046550</v>
      </c>
      <c r="V23" s="1788">
        <f>IF(U23=0,0,ROUND(U23/D2,0))</f>
        <v>4093</v>
      </c>
      <c r="W23" s="1160"/>
      <c r="X23" s="1846" t="s">
        <v>428</v>
      </c>
      <c r="Y23" s="1789">
        <f>IF(U23=0,0,ROUND(U23/D54,4))</f>
        <v>0.2141</v>
      </c>
      <c r="Z23" s="1349"/>
    </row>
    <row r="24" spans="1:26" s="51" customFormat="1" ht="19.5" customHeight="1">
      <c r="A24" s="432" t="s">
        <v>65</v>
      </c>
      <c r="B24" s="433">
        <v>1155</v>
      </c>
      <c r="C24" s="433">
        <v>1222</v>
      </c>
      <c r="D24" s="432">
        <v>100</v>
      </c>
      <c r="E24" s="393">
        <v>100</v>
      </c>
      <c r="F24" s="434">
        <f>IF(C24=0,0,1)</f>
        <v>1</v>
      </c>
      <c r="G24" s="375" t="s">
        <v>669</v>
      </c>
      <c r="I24" s="1779"/>
      <c r="J24" s="1740">
        <f>B42</f>
        <v>0</v>
      </c>
      <c r="K24" s="1741">
        <f>C42</f>
        <v>0</v>
      </c>
      <c r="L24" s="1740">
        <f>ROUND(J24*K24,2)</f>
        <v>0</v>
      </c>
      <c r="M24" s="1742">
        <f>D42</f>
        <v>0</v>
      </c>
      <c r="N24" s="1743">
        <f>ROUND(M24*L24,0)</f>
        <v>0</v>
      </c>
      <c r="O24" s="1744">
        <f>F42</f>
        <v>0</v>
      </c>
      <c r="P24" s="1745">
        <f>N24*O23</f>
        <v>0</v>
      </c>
      <c r="Q24" s="1746"/>
      <c r="R24" s="1745">
        <f>N24*O24</f>
        <v>0</v>
      </c>
      <c r="S24" s="1747"/>
      <c r="T24" s="1220"/>
      <c r="U24" s="1161"/>
      <c r="V24" s="1161"/>
      <c r="W24" s="1161"/>
      <c r="X24" s="1161"/>
      <c r="Y24" s="1161"/>
      <c r="Z24" s="1161"/>
    </row>
    <row r="25" spans="1:26" s="51" customFormat="1" ht="19.5" customHeight="1">
      <c r="A25" s="432" t="s">
        <v>64</v>
      </c>
      <c r="B25" s="433">
        <v>1197</v>
      </c>
      <c r="C25" s="433">
        <v>1248</v>
      </c>
      <c r="D25" s="432">
        <v>100</v>
      </c>
      <c r="E25" s="393">
        <v>100</v>
      </c>
      <c r="F25" s="434">
        <f>IF(C25=0,0,1)</f>
        <v>1</v>
      </c>
      <c r="G25" s="375"/>
      <c r="I25" s="1778">
        <f>A43</f>
        <v>0</v>
      </c>
      <c r="J25" s="1748"/>
      <c r="K25" s="1734"/>
      <c r="L25" s="1748"/>
      <c r="M25" s="1735"/>
      <c r="N25" s="1736"/>
      <c r="O25" s="1737">
        <f>E43</f>
        <v>0</v>
      </c>
      <c r="P25" s="1735"/>
      <c r="Q25" s="1738"/>
      <c r="R25" s="1735"/>
      <c r="S25" s="1739"/>
      <c r="T25" s="1161" t="s">
        <v>429</v>
      </c>
      <c r="U25" s="1161"/>
      <c r="V25" s="1161"/>
      <c r="W25" s="1161"/>
      <c r="X25" s="1161"/>
      <c r="Y25" s="1161"/>
      <c r="Z25" s="1161"/>
    </row>
    <row r="26" spans="1:26" s="51" customFormat="1" ht="19.5" customHeight="1">
      <c r="A26" s="435">
        <v>0</v>
      </c>
      <c r="B26" s="436">
        <v>0</v>
      </c>
      <c r="C26" s="436">
        <v>0</v>
      </c>
      <c r="D26" s="435">
        <v>100</v>
      </c>
      <c r="E26" s="394">
        <v>100</v>
      </c>
      <c r="F26" s="437">
        <f>IF(C26=0,0,1)</f>
        <v>0</v>
      </c>
      <c r="G26" s="375"/>
      <c r="I26" s="1779"/>
      <c r="J26" s="1740">
        <f>B43</f>
        <v>0</v>
      </c>
      <c r="K26" s="1741">
        <f>C43</f>
        <v>0</v>
      </c>
      <c r="L26" s="1740">
        <f>ROUND(J26*K26,2)</f>
        <v>0</v>
      </c>
      <c r="M26" s="1742">
        <f>D43</f>
        <v>0</v>
      </c>
      <c r="N26" s="1743">
        <f>ROUND(M26*L26,0)</f>
        <v>0</v>
      </c>
      <c r="O26" s="1744">
        <f>F43</f>
        <v>0</v>
      </c>
      <c r="P26" s="1745">
        <f>N26*O25</f>
        <v>0</v>
      </c>
      <c r="Q26" s="1746"/>
      <c r="R26" s="1745">
        <f>N26*O26</f>
        <v>0</v>
      </c>
      <c r="S26" s="1747"/>
      <c r="T26" s="1735" t="s">
        <v>811</v>
      </c>
      <c r="U26" s="1795"/>
      <c r="V26" s="1738" t="s">
        <v>400</v>
      </c>
      <c r="W26" s="1738"/>
      <c r="X26" s="1738"/>
      <c r="Y26" s="1738"/>
      <c r="Z26" s="1795"/>
    </row>
    <row r="27" spans="1:26" s="51" customFormat="1" ht="19.5" customHeight="1">
      <c r="A27" s="375"/>
      <c r="B27" s="427"/>
      <c r="C27" s="428"/>
      <c r="D27" s="375"/>
      <c r="E27" s="375"/>
      <c r="F27" s="375"/>
      <c r="G27" s="375"/>
      <c r="I27" s="1778">
        <f>A44</f>
        <v>0</v>
      </c>
      <c r="J27" s="1748"/>
      <c r="K27" s="1734"/>
      <c r="L27" s="1748"/>
      <c r="M27" s="1735"/>
      <c r="N27" s="1736"/>
      <c r="O27" s="1737">
        <f>E44</f>
        <v>0</v>
      </c>
      <c r="P27" s="1735"/>
      <c r="Q27" s="1738"/>
      <c r="R27" s="1735"/>
      <c r="S27" s="1739"/>
      <c r="T27" s="1755"/>
      <c r="U27" s="1796">
        <f>B83</f>
        <v>0.05</v>
      </c>
      <c r="V27" s="1220"/>
      <c r="W27" s="1220"/>
      <c r="X27" s="1220"/>
      <c r="Y27" s="1220"/>
      <c r="Z27" s="1796">
        <f>B85</f>
        <v>0.005</v>
      </c>
    </row>
    <row r="28" spans="1:26" s="51" customFormat="1" ht="19.5" customHeight="1">
      <c r="A28" s="429" t="str">
        <f>A23</f>
        <v>事例番号</v>
      </c>
      <c r="B28" s="430" t="s">
        <v>603</v>
      </c>
      <c r="C28" s="430" t="s">
        <v>401</v>
      </c>
      <c r="D28" s="429" t="s">
        <v>604</v>
      </c>
      <c r="E28" s="429" t="s">
        <v>602</v>
      </c>
      <c r="F28" s="431" t="s">
        <v>402</v>
      </c>
      <c r="G28" s="438" t="s">
        <v>706</v>
      </c>
      <c r="I28" s="1779"/>
      <c r="J28" s="1740">
        <f>B44</f>
        <v>0</v>
      </c>
      <c r="K28" s="1741">
        <f>C44</f>
        <v>0</v>
      </c>
      <c r="L28" s="1740">
        <f>ROUND(J28*K28,2)</f>
        <v>0</v>
      </c>
      <c r="M28" s="1742">
        <f>D44</f>
        <v>0</v>
      </c>
      <c r="N28" s="1743">
        <f>ROUND(M28*L28,0)</f>
        <v>0</v>
      </c>
      <c r="O28" s="1744">
        <f>F44</f>
        <v>0</v>
      </c>
      <c r="P28" s="1745">
        <f>N28*O27</f>
        <v>0</v>
      </c>
      <c r="Q28" s="1746"/>
      <c r="R28" s="1745">
        <f>N28*O28</f>
        <v>0</v>
      </c>
      <c r="S28" s="1747"/>
      <c r="T28" s="1735" t="s">
        <v>1313</v>
      </c>
      <c r="U28" s="1797"/>
      <c r="V28" s="1738" t="s">
        <v>822</v>
      </c>
      <c r="W28" s="1738"/>
      <c r="X28" s="1738"/>
      <c r="Y28" s="1738"/>
      <c r="Z28" s="1798"/>
    </row>
    <row r="29" spans="1:26" s="51" customFormat="1" ht="19.5" customHeight="1">
      <c r="A29" s="429" t="str">
        <f>A24</f>
        <v>2002　02</v>
      </c>
      <c r="B29" s="432">
        <v>100</v>
      </c>
      <c r="C29" s="432">
        <v>100</v>
      </c>
      <c r="D29" s="432">
        <v>95</v>
      </c>
      <c r="E29" s="393">
        <v>100</v>
      </c>
      <c r="F29" s="439">
        <f>ROUND(B24/D24*E24/B29/C29/D29*E29*10000,0)</f>
        <v>1216</v>
      </c>
      <c r="G29" s="440">
        <f>IF(C24=0,0,ROUND(C24/D24*E24/B29/C29/D29*E29*10000,0))</f>
        <v>1286</v>
      </c>
      <c r="I29" s="1778">
        <f>A45</f>
        <v>0</v>
      </c>
      <c r="J29" s="1748"/>
      <c r="K29" s="1734"/>
      <c r="L29" s="1748"/>
      <c r="M29" s="1735"/>
      <c r="N29" s="1736"/>
      <c r="O29" s="1737">
        <f>E45</f>
        <v>0</v>
      </c>
      <c r="P29" s="1735"/>
      <c r="Q29" s="1738"/>
      <c r="R29" s="1735"/>
      <c r="S29" s="1739"/>
      <c r="T29" s="1751"/>
      <c r="U29" s="1799">
        <f>B84</f>
        <v>0.85</v>
      </c>
      <c r="V29" s="1215"/>
      <c r="W29" s="1215"/>
      <c r="X29" s="1215"/>
      <c r="Y29" s="1215"/>
      <c r="Z29" s="1800">
        <f>B86</f>
        <v>25</v>
      </c>
    </row>
    <row r="30" spans="1:26" s="51" customFormat="1" ht="19.5" customHeight="1">
      <c r="A30" s="429" t="str">
        <f>A25</f>
        <v>2002　21</v>
      </c>
      <c r="B30" s="432">
        <v>100</v>
      </c>
      <c r="C30" s="432">
        <v>100</v>
      </c>
      <c r="D30" s="432">
        <v>95</v>
      </c>
      <c r="E30" s="441">
        <f>E29</f>
        <v>100</v>
      </c>
      <c r="F30" s="439">
        <f>ROUND(B25/D25*E25/B30/C30/D30*E30*10000,0)</f>
        <v>1260</v>
      </c>
      <c r="G30" s="440">
        <f>IF(C25=0,0,ROUND(C25/D25*E25/B30/C30/D30*E30*10000,0))</f>
        <v>1314</v>
      </c>
      <c r="I30" s="1779"/>
      <c r="J30" s="1740">
        <f>B45</f>
        <v>0</v>
      </c>
      <c r="K30" s="1741">
        <f>C45</f>
        <v>0</v>
      </c>
      <c r="L30" s="1740">
        <f>ROUND(J30*K30,2)</f>
        <v>0</v>
      </c>
      <c r="M30" s="1742">
        <f>D45</f>
        <v>0</v>
      </c>
      <c r="N30" s="1743">
        <f>ROUND(M30*L30,0)</f>
        <v>0</v>
      </c>
      <c r="O30" s="1744">
        <f>F45</f>
        <v>0</v>
      </c>
      <c r="P30" s="1745">
        <f>N30*O29</f>
        <v>0</v>
      </c>
      <c r="Q30" s="1746"/>
      <c r="R30" s="1745">
        <f>N30*O30</f>
        <v>0</v>
      </c>
      <c r="S30" s="1747"/>
      <c r="T30" s="1755" t="s">
        <v>938</v>
      </c>
      <c r="U30" s="1796"/>
      <c r="V30" s="1220" t="s">
        <v>297</v>
      </c>
      <c r="W30" s="1220"/>
      <c r="X30" s="1220"/>
      <c r="Y30" s="1220"/>
      <c r="Z30" s="1801"/>
    </row>
    <row r="31" spans="1:26" s="51" customFormat="1" ht="19.5" customHeight="1">
      <c r="A31" s="442">
        <f>A26</f>
        <v>0</v>
      </c>
      <c r="B31" s="435">
        <v>100</v>
      </c>
      <c r="C31" s="435">
        <v>100</v>
      </c>
      <c r="D31" s="435">
        <v>100</v>
      </c>
      <c r="E31" s="443">
        <f>E29</f>
        <v>100</v>
      </c>
      <c r="F31" s="440">
        <f>ROUND(B26/D26*E26/B31/C31/D31*E31*10000,0)</f>
        <v>0</v>
      </c>
      <c r="G31" s="440">
        <f>IF(C26=0,0,ROUND(C26/D26*E26/B31/C31/D31*E31*10000,0))</f>
        <v>0</v>
      </c>
      <c r="I31" s="1778">
        <f>A46</f>
        <v>0</v>
      </c>
      <c r="J31" s="1748"/>
      <c r="K31" s="1734"/>
      <c r="L31" s="1748"/>
      <c r="M31" s="1735"/>
      <c r="N31" s="1736"/>
      <c r="O31" s="1737">
        <f>E46</f>
        <v>0</v>
      </c>
      <c r="P31" s="1735"/>
      <c r="Q31" s="1738"/>
      <c r="R31" s="1735"/>
      <c r="S31" s="1739"/>
      <c r="T31" s="1751"/>
      <c r="U31" s="1799">
        <f>D84</f>
        <v>0.15000000000000002</v>
      </c>
      <c r="V31" s="1215"/>
      <c r="W31" s="1215"/>
      <c r="X31" s="1215"/>
      <c r="Y31" s="1215"/>
      <c r="Z31" s="1800">
        <f>B87</f>
        <v>12</v>
      </c>
    </row>
    <row r="32" spans="1:26" s="51" customFormat="1" ht="19.5" customHeight="1">
      <c r="A32" s="375"/>
      <c r="B32" s="427"/>
      <c r="C32" s="428"/>
      <c r="D32" s="375"/>
      <c r="E32" s="375"/>
      <c r="F32" s="375"/>
      <c r="G32" s="375"/>
      <c r="I32" s="1779"/>
      <c r="J32" s="1740">
        <f>B46</f>
        <v>0</v>
      </c>
      <c r="K32" s="1741">
        <f>C46</f>
        <v>0</v>
      </c>
      <c r="L32" s="1740">
        <f>ROUND(J32*K32,2)</f>
        <v>0</v>
      </c>
      <c r="M32" s="1742">
        <f>D46</f>
        <v>0</v>
      </c>
      <c r="N32" s="1743">
        <f>ROUND(M32*L32,0)</f>
        <v>0</v>
      </c>
      <c r="O32" s="1744">
        <f>F46</f>
        <v>0</v>
      </c>
      <c r="P32" s="1745">
        <f>N32*O31</f>
        <v>0</v>
      </c>
      <c r="Q32" s="1746"/>
      <c r="R32" s="1745">
        <f>N32*O32</f>
        <v>0</v>
      </c>
      <c r="S32" s="1747"/>
      <c r="T32" s="1161"/>
      <c r="U32" s="1161"/>
      <c r="V32" s="1735" t="s">
        <v>507</v>
      </c>
      <c r="W32" s="1738"/>
      <c r="X32" s="1738"/>
      <c r="Y32" s="1738"/>
      <c r="Z32" s="1795"/>
    </row>
    <row r="33" spans="1:26" s="51" customFormat="1" ht="19.5" customHeight="1" thickBot="1">
      <c r="A33" s="375" t="s">
        <v>965</v>
      </c>
      <c r="B33" s="427"/>
      <c r="C33" s="438" t="s">
        <v>1303</v>
      </c>
      <c r="D33" s="444" t="s">
        <v>1304</v>
      </c>
      <c r="E33" s="444" t="s">
        <v>1084</v>
      </c>
      <c r="F33" s="375"/>
      <c r="G33" s="375"/>
      <c r="I33" s="1778" t="str">
        <f>A47</f>
        <v>　</v>
      </c>
      <c r="J33" s="1748"/>
      <c r="K33" s="1734"/>
      <c r="L33" s="1748"/>
      <c r="M33" s="1735"/>
      <c r="N33" s="1736"/>
      <c r="O33" s="1737">
        <f>E47</f>
        <v>0</v>
      </c>
      <c r="P33" s="1735"/>
      <c r="Q33" s="1738"/>
      <c r="R33" s="1735"/>
      <c r="S33" s="1739"/>
      <c r="T33" s="1161"/>
      <c r="U33" s="1161"/>
      <c r="V33" s="1751"/>
      <c r="W33" s="1215"/>
      <c r="X33" s="1215"/>
      <c r="Y33" s="1215"/>
      <c r="Z33" s="1802">
        <f>B97</f>
        <v>0.5</v>
      </c>
    </row>
    <row r="34" spans="1:26" s="51" customFormat="1" ht="19.5" customHeight="1">
      <c r="A34" s="445" t="s">
        <v>1305</v>
      </c>
      <c r="B34" s="446">
        <v>1238</v>
      </c>
      <c r="C34" s="447">
        <f>IF(C24=0,0,SUM(F29:F31)/D34)</f>
        <v>1238</v>
      </c>
      <c r="D34" s="438">
        <f>SUM(F24:F26)</f>
        <v>2</v>
      </c>
      <c r="E34" s="448">
        <f>E56</f>
        <v>89814</v>
      </c>
      <c r="F34" s="375"/>
      <c r="G34" s="375"/>
      <c r="I34" s="1779"/>
      <c r="J34" s="1740">
        <f>B47</f>
        <v>0</v>
      </c>
      <c r="K34" s="1741">
        <f>C47</f>
        <v>0</v>
      </c>
      <c r="L34" s="1740">
        <f>ROUND(J34*K34,2)</f>
        <v>0</v>
      </c>
      <c r="M34" s="1742">
        <f>D47</f>
        <v>0</v>
      </c>
      <c r="N34" s="1743">
        <f>ROUND(M34*L34,0)</f>
        <v>0</v>
      </c>
      <c r="O34" s="1744">
        <f>F47</f>
        <v>0</v>
      </c>
      <c r="P34" s="1745">
        <f>N34*O33</f>
        <v>0</v>
      </c>
      <c r="Q34" s="1746"/>
      <c r="R34" s="1745">
        <f>N34*O34</f>
        <v>0</v>
      </c>
      <c r="S34" s="1747"/>
      <c r="T34" s="1161"/>
      <c r="U34" s="1161"/>
      <c r="V34" s="1161"/>
      <c r="W34" s="1161"/>
      <c r="X34" s="1161"/>
      <c r="Y34" s="1161"/>
      <c r="Z34" s="1161"/>
    </row>
    <row r="35" spans="1:26" s="51" customFormat="1" ht="19.5" customHeight="1" thickBot="1">
      <c r="A35" s="449" t="s">
        <v>1306</v>
      </c>
      <c r="B35" s="450">
        <v>0</v>
      </c>
      <c r="C35" s="447">
        <f>IF(B24=0,0,SUM(G29:G31)/D34)</f>
        <v>1300</v>
      </c>
      <c r="D35" s="444"/>
      <c r="E35" s="444"/>
      <c r="F35" s="375"/>
      <c r="G35" s="375"/>
      <c r="I35" s="1778" t="str">
        <f>A48</f>
        <v>　</v>
      </c>
      <c r="J35" s="1748"/>
      <c r="K35" s="1734"/>
      <c r="L35" s="1748"/>
      <c r="M35" s="1735"/>
      <c r="N35" s="1736"/>
      <c r="O35" s="1737">
        <f>E48</f>
        <v>0</v>
      </c>
      <c r="P35" s="1735"/>
      <c r="Q35" s="1738"/>
      <c r="R35" s="1735"/>
      <c r="S35" s="1739"/>
      <c r="T35" s="1161" t="s">
        <v>1307</v>
      </c>
      <c r="U35" s="1161"/>
      <c r="V35" s="1161"/>
      <c r="W35" s="1161"/>
      <c r="X35" s="1161"/>
      <c r="Y35" s="1161"/>
      <c r="Z35" s="1161"/>
    </row>
    <row r="36" spans="1:26" s="51" customFormat="1" ht="19.5" customHeight="1">
      <c r="A36" s="375"/>
      <c r="B36" s="375"/>
      <c r="C36" s="428"/>
      <c r="D36" s="375"/>
      <c r="E36" s="375"/>
      <c r="F36" s="375"/>
      <c r="G36" s="375"/>
      <c r="I36" s="1779"/>
      <c r="J36" s="1740">
        <f>B48</f>
        <v>0</v>
      </c>
      <c r="K36" s="1741">
        <f>C48</f>
        <v>0</v>
      </c>
      <c r="L36" s="1740">
        <f>ROUND(J36*K36,2)</f>
        <v>0</v>
      </c>
      <c r="M36" s="1742">
        <f>D48</f>
        <v>0</v>
      </c>
      <c r="N36" s="1743">
        <f>ROUND(M36*L36,0)</f>
        <v>0</v>
      </c>
      <c r="O36" s="1744">
        <f>F48</f>
        <v>0</v>
      </c>
      <c r="P36" s="1745">
        <f>N36*O35</f>
        <v>0</v>
      </c>
      <c r="Q36" s="1746"/>
      <c r="R36" s="1745">
        <f>N36*O36</f>
        <v>0</v>
      </c>
      <c r="S36" s="1747"/>
      <c r="T36" s="1737" t="str">
        <f>T4</f>
        <v>項　　　　　目</v>
      </c>
      <c r="U36" s="1798" t="s">
        <v>810</v>
      </c>
      <c r="V36" s="1816" t="str">
        <f>V4</f>
        <v>算　　　出　　　根　　　拠</v>
      </c>
      <c r="W36" s="1816"/>
      <c r="X36" s="1816"/>
      <c r="Y36" s="1816"/>
      <c r="Z36" s="1817"/>
    </row>
    <row r="37" spans="1:26" s="51" customFormat="1" ht="19.5" customHeight="1">
      <c r="A37" s="375"/>
      <c r="B37" s="375"/>
      <c r="C37" s="428" t="str">
        <f>E50</f>
        <v>※延面積が基準容積率以内</v>
      </c>
      <c r="D37" s="375"/>
      <c r="E37" s="451">
        <f>F52</f>
        <v>1.1732957878681216</v>
      </c>
      <c r="F37" s="412"/>
      <c r="G37" s="412"/>
      <c r="I37" s="1735" t="s">
        <v>997</v>
      </c>
      <c r="J37" s="1733"/>
      <c r="K37" s="1734"/>
      <c r="L37" s="1733"/>
      <c r="M37" s="1735"/>
      <c r="N37" s="1736"/>
      <c r="O37" s="1738"/>
      <c r="P37" s="1735"/>
      <c r="Q37" s="1738"/>
      <c r="R37" s="1735"/>
      <c r="S37" s="1739"/>
      <c r="T37" s="1735" t="s">
        <v>323</v>
      </c>
      <c r="U37" s="1795"/>
      <c r="V37" s="1847">
        <f>B89</f>
        <v>125000</v>
      </c>
      <c r="W37" s="1825" t="s">
        <v>431</v>
      </c>
      <c r="X37" s="1848">
        <f>B49</f>
        <v>300</v>
      </c>
      <c r="Y37" s="1738" t="s">
        <v>324</v>
      </c>
      <c r="Z37" s="1849">
        <f>E89</f>
        <v>37500000</v>
      </c>
    </row>
    <row r="38" spans="1:26" s="51" customFormat="1" ht="19.5" customHeight="1">
      <c r="A38" s="412" t="s">
        <v>952</v>
      </c>
      <c r="B38" s="412"/>
      <c r="C38" s="452" t="str">
        <f>E51</f>
        <v>建蔽率床面積</v>
      </c>
      <c r="D38" s="453">
        <f>F51</f>
        <v>153.414</v>
      </c>
      <c r="E38" s="412"/>
      <c r="F38" s="454" t="s">
        <v>669</v>
      </c>
      <c r="G38" s="375"/>
      <c r="I38" s="1843" t="s">
        <v>953</v>
      </c>
      <c r="J38" s="1749">
        <f>SUM(J19:J36)</f>
        <v>300</v>
      </c>
      <c r="K38" s="1750"/>
      <c r="L38" s="1749">
        <f>SUM(L19:L36)</f>
        <v>300</v>
      </c>
      <c r="M38" s="1751"/>
      <c r="N38" s="1752">
        <f>SUM(N19:N36)</f>
        <v>371400</v>
      </c>
      <c r="O38" s="1160"/>
      <c r="P38" s="1752">
        <f>SUM(P19:P36)</f>
        <v>1114200</v>
      </c>
      <c r="Q38" s="1753"/>
      <c r="R38" s="1752">
        <f>SUM(R19:R36)</f>
        <v>371400</v>
      </c>
      <c r="S38" s="1754"/>
      <c r="T38" s="1751"/>
      <c r="U38" s="1850">
        <f>E90</f>
        <v>37500000</v>
      </c>
      <c r="V38" s="1851" t="str">
        <f>"　　　（Ｐ）×設計監理料率（100＋"&amp;""&amp;B90*100&amp;"％）"</f>
        <v>　　　（Ｐ）×設計監理料率（100＋0％）</v>
      </c>
      <c r="W38" s="1180"/>
      <c r="X38" s="1161"/>
      <c r="Y38" s="1215" t="s">
        <v>1246</v>
      </c>
      <c r="Z38" s="1852">
        <f>E90</f>
        <v>37500000</v>
      </c>
    </row>
    <row r="39" spans="1:26" s="51" customFormat="1" ht="19.5" customHeight="1">
      <c r="A39" s="429" t="s">
        <v>1247</v>
      </c>
      <c r="B39" s="429" t="s">
        <v>711</v>
      </c>
      <c r="C39" s="429" t="s">
        <v>1101</v>
      </c>
      <c r="D39" s="429" t="s">
        <v>102</v>
      </c>
      <c r="E39" s="429" t="s">
        <v>544</v>
      </c>
      <c r="F39" s="431" t="s">
        <v>307</v>
      </c>
      <c r="G39" s="375"/>
      <c r="I39" s="1735"/>
      <c r="J39" s="1738"/>
      <c r="K39" s="1738"/>
      <c r="L39" s="1735"/>
      <c r="M39" s="1738"/>
      <c r="N39" s="1738"/>
      <c r="O39" s="1738"/>
      <c r="P39" s="1738"/>
      <c r="Q39" s="1738"/>
      <c r="R39" s="1738"/>
      <c r="S39" s="1739"/>
      <c r="T39" s="1735" t="s">
        <v>504</v>
      </c>
      <c r="U39" s="1795"/>
      <c r="V39" s="1825" t="s">
        <v>1162</v>
      </c>
      <c r="W39" s="1738"/>
      <c r="X39" s="1853">
        <f>B92</f>
        <v>0.0676201</v>
      </c>
      <c r="Y39" s="1825" t="s">
        <v>431</v>
      </c>
      <c r="Z39" s="1854">
        <f>B84</f>
        <v>0.85</v>
      </c>
    </row>
    <row r="40" spans="1:26" s="51" customFormat="1" ht="19.5" customHeight="1">
      <c r="A40" s="455">
        <v>1</v>
      </c>
      <c r="B40" s="456">
        <v>150</v>
      </c>
      <c r="C40" s="457">
        <v>1</v>
      </c>
      <c r="D40" s="458">
        <f>B34</f>
        <v>1238</v>
      </c>
      <c r="E40" s="455">
        <v>3</v>
      </c>
      <c r="F40" s="459">
        <v>1</v>
      </c>
      <c r="G40" s="375"/>
      <c r="I40" s="1755" t="s">
        <v>1163</v>
      </c>
      <c r="J40" s="1220"/>
      <c r="K40" s="1220"/>
      <c r="L40" s="1755"/>
      <c r="M40" s="1756">
        <f>N38</f>
        <v>371400</v>
      </c>
      <c r="N40" s="1757"/>
      <c r="O40" s="1220"/>
      <c r="P40" s="1220" t="s">
        <v>1164</v>
      </c>
      <c r="Q40" s="1190"/>
      <c r="R40" s="1756">
        <f>N38*12</f>
        <v>4456800</v>
      </c>
      <c r="S40" s="1747"/>
      <c r="T40" s="1755"/>
      <c r="U40" s="1855">
        <f>B91</f>
        <v>0.0739881</v>
      </c>
      <c r="V40" s="1180" t="s">
        <v>372</v>
      </c>
      <c r="W40" s="1220"/>
      <c r="X40" s="1856">
        <f>B93</f>
        <v>0.1100734</v>
      </c>
      <c r="Y40" s="1180" t="s">
        <v>431</v>
      </c>
      <c r="Z40" s="1857">
        <f>D84</f>
        <v>0.15000000000000002</v>
      </c>
    </row>
    <row r="41" spans="1:26" s="51" customFormat="1" ht="19.5" customHeight="1">
      <c r="A41" s="455">
        <v>2</v>
      </c>
      <c r="B41" s="456">
        <v>150</v>
      </c>
      <c r="C41" s="457">
        <v>1</v>
      </c>
      <c r="D41" s="460">
        <v>1238</v>
      </c>
      <c r="E41" s="455">
        <v>3</v>
      </c>
      <c r="F41" s="459">
        <v>1</v>
      </c>
      <c r="G41" s="375"/>
      <c r="I41" s="1735"/>
      <c r="J41" s="1738"/>
      <c r="K41" s="1738"/>
      <c r="L41" s="1735"/>
      <c r="M41" s="1738"/>
      <c r="N41" s="1738"/>
      <c r="O41" s="1738"/>
      <c r="P41" s="1738"/>
      <c r="Q41" s="1738"/>
      <c r="R41" s="1758"/>
      <c r="S41" s="1759"/>
      <c r="T41" s="1751"/>
      <c r="U41" s="1858"/>
      <c r="V41" s="1859" t="s">
        <v>923</v>
      </c>
      <c r="W41" s="1860"/>
      <c r="X41" s="1860"/>
      <c r="Y41" s="1860"/>
      <c r="Z41" s="1861">
        <f>B91</f>
        <v>0.0739881</v>
      </c>
    </row>
    <row r="42" spans="1:26" s="51" customFormat="1" ht="19.5" customHeight="1">
      <c r="A42" s="455">
        <v>0</v>
      </c>
      <c r="B42" s="456">
        <v>0</v>
      </c>
      <c r="C42" s="457">
        <v>0</v>
      </c>
      <c r="D42" s="460">
        <v>0</v>
      </c>
      <c r="E42" s="455">
        <v>0</v>
      </c>
      <c r="F42" s="459">
        <v>0</v>
      </c>
      <c r="G42" s="375"/>
      <c r="I42" s="1755" t="s">
        <v>503</v>
      </c>
      <c r="J42" s="1220"/>
      <c r="K42" s="1220"/>
      <c r="L42" s="1755"/>
      <c r="M42" s="1756">
        <f>P38</f>
        <v>1114200</v>
      </c>
      <c r="N42" s="1190"/>
      <c r="O42" s="1180" t="s">
        <v>431</v>
      </c>
      <c r="P42" s="1760">
        <f>B50</f>
        <v>0.05</v>
      </c>
      <c r="Q42" s="1180" t="s">
        <v>1246</v>
      </c>
      <c r="R42" s="1756">
        <f>IF(P38=0,0,ROUND(P38*B50,0))</f>
        <v>55710</v>
      </c>
      <c r="S42" s="1747"/>
      <c r="T42" s="1755" t="s">
        <v>667</v>
      </c>
      <c r="U42" s="1755"/>
      <c r="V42" s="1220"/>
      <c r="W42" s="1220"/>
      <c r="X42" s="1220"/>
      <c r="Y42" s="1220"/>
      <c r="Z42" s="1790"/>
    </row>
    <row r="43" spans="1:26" s="51" customFormat="1" ht="19.5" customHeight="1">
      <c r="A43" s="455">
        <v>0</v>
      </c>
      <c r="B43" s="456">
        <v>0</v>
      </c>
      <c r="C43" s="457">
        <v>0</v>
      </c>
      <c r="D43" s="460">
        <v>0</v>
      </c>
      <c r="E43" s="455">
        <v>0</v>
      </c>
      <c r="F43" s="459"/>
      <c r="G43" s="375"/>
      <c r="I43" s="1735" t="s">
        <v>613</v>
      </c>
      <c r="J43" s="1738"/>
      <c r="K43" s="1738"/>
      <c r="L43" s="1737" t="s">
        <v>614</v>
      </c>
      <c r="M43" s="1862">
        <f>IF(R38=0,0,B52)</f>
        <v>3</v>
      </c>
      <c r="N43" s="1825" t="s">
        <v>615</v>
      </c>
      <c r="O43" s="1863">
        <f>IF(R38=0,0,B51)</f>
        <v>0.05</v>
      </c>
      <c r="P43" s="1825" t="s">
        <v>767</v>
      </c>
      <c r="Q43" s="1825">
        <f>IF(R38=0,0,ROUND(O43+O43/((1+O43)^M43-1),5))</f>
        <v>0.36721</v>
      </c>
      <c r="R43" s="1825"/>
      <c r="S43" s="1864"/>
      <c r="T43" s="1842" t="s">
        <v>771</v>
      </c>
      <c r="U43" s="1787">
        <f>ROUND(U38*U40,0)</f>
        <v>2774554</v>
      </c>
      <c r="V43" s="1215"/>
      <c r="W43" s="1215"/>
      <c r="X43" s="1788">
        <f>IF(U43=0,0,ROUND(U43/D2,0))</f>
        <v>10851</v>
      </c>
      <c r="Y43" s="1160"/>
      <c r="Z43" s="1349"/>
    </row>
    <row r="44" spans="1:26" s="51" customFormat="1" ht="19.5" customHeight="1">
      <c r="A44" s="455">
        <v>0</v>
      </c>
      <c r="B44" s="456">
        <v>0</v>
      </c>
      <c r="C44" s="457">
        <v>0</v>
      </c>
      <c r="D44" s="460">
        <v>0</v>
      </c>
      <c r="E44" s="455">
        <v>0</v>
      </c>
      <c r="F44" s="459"/>
      <c r="G44" s="375"/>
      <c r="I44" s="1755" t="s">
        <v>1122</v>
      </c>
      <c r="J44" s="1220"/>
      <c r="K44" s="1220"/>
      <c r="L44" s="1755"/>
      <c r="M44" s="1756">
        <f>R38</f>
        <v>371400</v>
      </c>
      <c r="N44" s="1190"/>
      <c r="O44" s="1180" t="s">
        <v>431</v>
      </c>
      <c r="P44" s="1761">
        <f>Q43</f>
        <v>0.36721</v>
      </c>
      <c r="Q44" s="1190" t="s">
        <v>1246</v>
      </c>
      <c r="R44" s="1756">
        <f>IF(R38=0,0,ROUND(R38*Q43,0))</f>
        <v>136382</v>
      </c>
      <c r="S44" s="1747"/>
      <c r="T44" s="1161"/>
      <c r="U44" s="1161"/>
      <c r="V44" s="1220"/>
      <c r="W44" s="1738"/>
      <c r="X44" s="1220"/>
      <c r="Y44" s="1161"/>
      <c r="Z44" s="1161"/>
    </row>
    <row r="45" spans="1:26" s="51" customFormat="1" ht="19.5" customHeight="1">
      <c r="A45" s="455">
        <v>0</v>
      </c>
      <c r="B45" s="456">
        <v>0</v>
      </c>
      <c r="C45" s="457">
        <v>0</v>
      </c>
      <c r="D45" s="460">
        <v>0</v>
      </c>
      <c r="E45" s="455">
        <v>0</v>
      </c>
      <c r="F45" s="459"/>
      <c r="G45" s="375"/>
      <c r="I45" s="1735" t="s">
        <v>1328</v>
      </c>
      <c r="J45" s="1738"/>
      <c r="K45" s="1738"/>
      <c r="L45" s="1735"/>
      <c r="M45" s="1865"/>
      <c r="N45" s="1816"/>
      <c r="O45" s="1825"/>
      <c r="P45" s="1866"/>
      <c r="Q45" s="1738"/>
      <c r="R45" s="1847"/>
      <c r="S45" s="1739"/>
      <c r="T45" s="1220" t="s">
        <v>406</v>
      </c>
      <c r="U45" s="1220"/>
      <c r="V45" s="1220"/>
      <c r="W45" s="1220"/>
      <c r="X45" s="1220"/>
      <c r="Y45" s="1220"/>
      <c r="Z45" s="1220"/>
    </row>
    <row r="46" spans="1:26" s="51" customFormat="1" ht="19.5" customHeight="1">
      <c r="A46" s="455">
        <v>0</v>
      </c>
      <c r="B46" s="456">
        <v>0</v>
      </c>
      <c r="C46" s="457"/>
      <c r="D46" s="460"/>
      <c r="E46" s="455"/>
      <c r="F46" s="459"/>
      <c r="G46" s="375"/>
      <c r="I46" s="1755" t="s">
        <v>699</v>
      </c>
      <c r="J46" s="1220"/>
      <c r="K46" s="1220"/>
      <c r="L46" s="1755"/>
      <c r="M46" s="1180" t="str">
        <f>IF(B56=1,A54," ")</f>
        <v>駐車台数</v>
      </c>
      <c r="N46" s="1180">
        <f>IF(B56=1,B54," ")</f>
        <v>4</v>
      </c>
      <c r="O46" s="1180" t="str">
        <f>IF(B56=1,A55," ")</f>
        <v>月額駐車料</v>
      </c>
      <c r="P46" s="1239">
        <f>IF(B56=1,B55," ")</f>
        <v>5000</v>
      </c>
      <c r="Q46" s="1220"/>
      <c r="R46" s="1756">
        <f>IF(B56=0," ",D53)</f>
        <v>240000</v>
      </c>
      <c r="S46" s="1762"/>
      <c r="T46" s="1735" t="s">
        <v>733</v>
      </c>
      <c r="U46" s="1738"/>
      <c r="V46" s="1735"/>
      <c r="W46" s="1738"/>
      <c r="X46" s="1738"/>
      <c r="Y46" s="1738"/>
      <c r="Z46" s="1739"/>
    </row>
    <row r="47" spans="1:26" s="51" customFormat="1" ht="19.5" customHeight="1">
      <c r="A47" s="455" t="s">
        <v>669</v>
      </c>
      <c r="B47" s="456"/>
      <c r="C47" s="457"/>
      <c r="D47" s="460"/>
      <c r="E47" s="455"/>
      <c r="F47" s="459"/>
      <c r="G47" s="375"/>
      <c r="I47" s="1735" t="s">
        <v>1036</v>
      </c>
      <c r="J47" s="1738"/>
      <c r="K47" s="1738"/>
      <c r="L47" s="1735"/>
      <c r="M47" s="1738"/>
      <c r="N47" s="1738"/>
      <c r="O47" s="1738"/>
      <c r="P47" s="1738"/>
      <c r="Q47" s="1738"/>
      <c r="R47" s="1738"/>
      <c r="S47" s="1739"/>
      <c r="T47" s="1755"/>
      <c r="U47" s="1220"/>
      <c r="V47" s="1783">
        <f>D54</f>
        <v>4888892</v>
      </c>
      <c r="W47" s="1220"/>
      <c r="X47" s="1220"/>
      <c r="Y47" s="1220"/>
      <c r="Z47" s="1790"/>
    </row>
    <row r="48" spans="1:26" s="51" customFormat="1" ht="19.5" customHeight="1">
      <c r="A48" s="455" t="s">
        <v>669</v>
      </c>
      <c r="B48" s="456"/>
      <c r="C48" s="457"/>
      <c r="D48" s="460"/>
      <c r="E48" s="455"/>
      <c r="F48" s="459"/>
      <c r="G48" s="375"/>
      <c r="I48" s="1751" t="s">
        <v>687</v>
      </c>
      <c r="J48" s="1215"/>
      <c r="K48" s="1215"/>
      <c r="L48" s="1751"/>
      <c r="M48" s="1763">
        <f>SUM(R39:R46)</f>
        <v>4888892</v>
      </c>
      <c r="N48" s="1160"/>
      <c r="O48" s="1160"/>
      <c r="P48" s="1764" t="s">
        <v>669</v>
      </c>
      <c r="Q48" s="1764" t="s">
        <v>688</v>
      </c>
      <c r="R48" s="1765">
        <f>IF(M48=0,0,ROUND(M48/D2,0))</f>
        <v>19120</v>
      </c>
      <c r="S48" s="1766" t="s">
        <v>154</v>
      </c>
      <c r="T48" s="1735" t="s">
        <v>768</v>
      </c>
      <c r="U48" s="1738"/>
      <c r="V48" s="1784"/>
      <c r="W48" s="1738"/>
      <c r="X48" s="1738"/>
      <c r="Y48" s="1738"/>
      <c r="Z48" s="1739"/>
    </row>
    <row r="49" spans="1:26" s="51" customFormat="1" ht="19.5" customHeight="1">
      <c r="A49" s="442" t="s">
        <v>953</v>
      </c>
      <c r="B49" s="461">
        <f>SUM(B40:B48)</f>
        <v>300</v>
      </c>
      <c r="C49" s="442"/>
      <c r="D49" s="462"/>
      <c r="E49" s="442"/>
      <c r="F49" s="438"/>
      <c r="G49" s="375"/>
      <c r="I49" s="1161"/>
      <c r="J49" s="1161"/>
      <c r="K49" s="1161"/>
      <c r="L49" s="1161"/>
      <c r="M49" s="1161"/>
      <c r="N49" s="1161"/>
      <c r="O49" s="1161"/>
      <c r="P49" s="1161"/>
      <c r="Q49" s="1161"/>
      <c r="R49" s="1161"/>
      <c r="S49" s="1161"/>
      <c r="T49" s="1751"/>
      <c r="U49" s="1215"/>
      <c r="V49" s="1787">
        <f>U23</f>
        <v>1046550</v>
      </c>
      <c r="W49" s="1215"/>
      <c r="X49" s="1215"/>
      <c r="Y49" s="1215"/>
      <c r="Z49" s="1845"/>
    </row>
    <row r="50" spans="1:26" s="51" customFormat="1" ht="19.5" customHeight="1">
      <c r="A50" s="463" t="s">
        <v>1070</v>
      </c>
      <c r="B50" s="464">
        <f>B83</f>
        <v>0.05</v>
      </c>
      <c r="C50" s="444" t="s">
        <v>1004</v>
      </c>
      <c r="D50" s="465">
        <f>R40</f>
        <v>4456800</v>
      </c>
      <c r="E50" s="411" t="str">
        <f>"※延面積が"&amp;C15</f>
        <v>※延面積が基準容積率以内</v>
      </c>
      <c r="F50" s="412"/>
      <c r="G50" s="412"/>
      <c r="I50" s="1248" t="s">
        <v>178</v>
      </c>
      <c r="J50" s="1161"/>
      <c r="K50" s="1161"/>
      <c r="L50" s="1161"/>
      <c r="M50" s="1161"/>
      <c r="N50" s="1161"/>
      <c r="O50" s="1161"/>
      <c r="P50" s="1161"/>
      <c r="Q50" s="1161" t="s">
        <v>1227</v>
      </c>
      <c r="R50" s="1161"/>
      <c r="S50" s="1161"/>
      <c r="T50" s="1755" t="s">
        <v>963</v>
      </c>
      <c r="U50" s="1220"/>
      <c r="V50" s="1783"/>
      <c r="W50" s="1220"/>
      <c r="X50" s="1220"/>
      <c r="Y50" s="1220"/>
      <c r="Z50" s="1790"/>
    </row>
    <row r="51" spans="1:26" s="51" customFormat="1" ht="19.5" customHeight="1">
      <c r="A51" s="466" t="s">
        <v>1073</v>
      </c>
      <c r="B51" s="467">
        <f>B83</f>
        <v>0.05</v>
      </c>
      <c r="C51" s="468" t="s">
        <v>873</v>
      </c>
      <c r="D51" s="469">
        <f>R42</f>
        <v>55710</v>
      </c>
      <c r="E51" s="470" t="s">
        <v>874</v>
      </c>
      <c r="F51" s="470">
        <f>D2*B14</f>
        <v>153.414</v>
      </c>
      <c r="G51" s="412"/>
      <c r="I51" s="1737" t="s">
        <v>496</v>
      </c>
      <c r="J51" s="1867" t="s">
        <v>179</v>
      </c>
      <c r="K51" s="1737" t="s">
        <v>642</v>
      </c>
      <c r="L51" s="1825" t="s">
        <v>875</v>
      </c>
      <c r="M51" s="1825" t="s">
        <v>876</v>
      </c>
      <c r="N51" s="1825" t="s">
        <v>401</v>
      </c>
      <c r="O51" s="1825" t="s">
        <v>848</v>
      </c>
      <c r="P51" s="1825" t="s">
        <v>849</v>
      </c>
      <c r="Q51" s="1737" t="s">
        <v>527</v>
      </c>
      <c r="R51" s="1815" t="s">
        <v>1171</v>
      </c>
      <c r="S51" s="1817"/>
      <c r="T51" s="1786" t="s">
        <v>883</v>
      </c>
      <c r="U51" s="1220"/>
      <c r="V51" s="1783">
        <f>V47-V49</f>
        <v>3842342</v>
      </c>
      <c r="W51" s="1220"/>
      <c r="X51" s="1220"/>
      <c r="Y51" s="1220"/>
      <c r="Z51" s="1790"/>
    </row>
    <row r="52" spans="1:26" s="51" customFormat="1" ht="19.5" customHeight="1">
      <c r="A52" s="468" t="s">
        <v>1314</v>
      </c>
      <c r="B52" s="471">
        <v>3</v>
      </c>
      <c r="C52" s="468" t="s">
        <v>1237</v>
      </c>
      <c r="D52" s="469">
        <f>R44</f>
        <v>136382</v>
      </c>
      <c r="E52" s="472" t="s">
        <v>1238</v>
      </c>
      <c r="F52" s="473">
        <f>B49/D2</f>
        <v>1.1732957878681216</v>
      </c>
      <c r="G52" s="474"/>
      <c r="I52" s="1813" t="s">
        <v>1239</v>
      </c>
      <c r="J52" s="1868" t="s">
        <v>180</v>
      </c>
      <c r="K52" s="1813" t="s">
        <v>924</v>
      </c>
      <c r="L52" s="1180" t="s">
        <v>925</v>
      </c>
      <c r="M52" s="1180" t="s">
        <v>924</v>
      </c>
      <c r="N52" s="1180" t="s">
        <v>926</v>
      </c>
      <c r="O52" s="1180" t="s">
        <v>458</v>
      </c>
      <c r="P52" s="1180" t="s">
        <v>288</v>
      </c>
      <c r="Q52" s="1813" t="s">
        <v>713</v>
      </c>
      <c r="R52" s="1814" t="s">
        <v>714</v>
      </c>
      <c r="S52" s="1762"/>
      <c r="T52" s="1735" t="s">
        <v>1280</v>
      </c>
      <c r="U52" s="1738"/>
      <c r="V52" s="1784"/>
      <c r="W52" s="1738"/>
      <c r="X52" s="1738"/>
      <c r="Y52" s="1738"/>
      <c r="Z52" s="1739"/>
    </row>
    <row r="53" spans="1:26" s="51" customFormat="1" ht="19.5" customHeight="1">
      <c r="A53" s="474" t="s">
        <v>1281</v>
      </c>
      <c r="B53" s="474"/>
      <c r="C53" s="475" t="s">
        <v>941</v>
      </c>
      <c r="D53" s="476">
        <f>IF(B56=1,B54*B55*12,0)</f>
        <v>240000</v>
      </c>
      <c r="E53" s="477" t="s">
        <v>447</v>
      </c>
      <c r="F53" s="478">
        <f>B15</f>
        <v>2</v>
      </c>
      <c r="G53" s="474"/>
      <c r="I53" s="1737"/>
      <c r="J53" s="1869" t="s">
        <v>172</v>
      </c>
      <c r="K53" s="1767">
        <v>100</v>
      </c>
      <c r="L53" s="1717">
        <f>E24</f>
        <v>100</v>
      </c>
      <c r="M53" s="1717">
        <v>100</v>
      </c>
      <c r="N53" s="1717">
        <v>100</v>
      </c>
      <c r="O53" s="1717">
        <v>100</v>
      </c>
      <c r="P53" s="1717">
        <f>E29</f>
        <v>100</v>
      </c>
      <c r="Q53" s="1869" t="s">
        <v>172</v>
      </c>
      <c r="R53" s="1735"/>
      <c r="S53" s="1739"/>
      <c r="T53" s="1751"/>
      <c r="U53" s="1215"/>
      <c r="V53" s="1787">
        <f>U43</f>
        <v>2774554</v>
      </c>
      <c r="W53" s="1215"/>
      <c r="X53" s="1215"/>
      <c r="Y53" s="1215"/>
      <c r="Z53" s="1845"/>
    </row>
    <row r="54" spans="1:26" s="51" customFormat="1" ht="19.5" customHeight="1">
      <c r="A54" s="479" t="s">
        <v>1155</v>
      </c>
      <c r="B54" s="480">
        <v>4</v>
      </c>
      <c r="C54" s="475" t="s">
        <v>1156</v>
      </c>
      <c r="D54" s="476">
        <f>SUM(D50:D53)</f>
        <v>4888892</v>
      </c>
      <c r="E54" s="481">
        <f>D54</f>
        <v>4888892</v>
      </c>
      <c r="F54" s="482"/>
      <c r="G54" s="474"/>
      <c r="I54" s="2030" t="str">
        <f>A24</f>
        <v>2002　02</v>
      </c>
      <c r="J54" s="1769">
        <f>C24</f>
        <v>1222</v>
      </c>
      <c r="K54" s="1768" t="s">
        <v>1157</v>
      </c>
      <c r="L54" s="1313" t="s">
        <v>1157</v>
      </c>
      <c r="M54" s="1313" t="s">
        <v>1157</v>
      </c>
      <c r="N54" s="1313" t="s">
        <v>1157</v>
      </c>
      <c r="O54" s="1313" t="s">
        <v>1157</v>
      </c>
      <c r="P54" s="1313" t="s">
        <v>1157</v>
      </c>
      <c r="Q54" s="1773">
        <f>G29</f>
        <v>1286</v>
      </c>
      <c r="R54" s="1755"/>
      <c r="S54" s="1790"/>
      <c r="T54" s="1755" t="s">
        <v>1158</v>
      </c>
      <c r="U54" s="1220"/>
      <c r="V54" s="1783"/>
      <c r="W54" s="1220"/>
      <c r="X54" s="1220"/>
      <c r="Y54" s="1220"/>
      <c r="Z54" s="1790"/>
    </row>
    <row r="55" spans="1:26" s="51" customFormat="1" ht="19.5" customHeight="1">
      <c r="A55" s="483" t="s">
        <v>471</v>
      </c>
      <c r="B55" s="484">
        <v>5000</v>
      </c>
      <c r="C55" s="474"/>
      <c r="D55" s="474"/>
      <c r="E55" s="474"/>
      <c r="F55" s="474"/>
      <c r="G55" s="474"/>
      <c r="I55" s="2031"/>
      <c r="J55" s="1770">
        <f>B24</f>
        <v>1155</v>
      </c>
      <c r="K55" s="1768">
        <f>D24</f>
        <v>100</v>
      </c>
      <c r="L55" s="1313">
        <v>100</v>
      </c>
      <c r="M55" s="1313">
        <f>B29</f>
        <v>100</v>
      </c>
      <c r="N55" s="1313">
        <f>C29</f>
        <v>100</v>
      </c>
      <c r="O55" s="1313">
        <f>D29</f>
        <v>95</v>
      </c>
      <c r="P55" s="1313">
        <v>100</v>
      </c>
      <c r="Q55" s="1774">
        <f>F29</f>
        <v>1216</v>
      </c>
      <c r="R55" s="1814" t="s">
        <v>525</v>
      </c>
      <c r="S55" s="1762"/>
      <c r="T55" s="1786" t="s">
        <v>888</v>
      </c>
      <c r="U55" s="1220"/>
      <c r="V55" s="1783">
        <f>V51-V53</f>
        <v>1067788</v>
      </c>
      <c r="W55" s="1220"/>
      <c r="X55" s="1220"/>
      <c r="Y55" s="1220"/>
      <c r="Z55" s="1790"/>
    </row>
    <row r="56" spans="1:26" s="51" customFormat="1" ht="19.5" customHeight="1">
      <c r="A56" s="483" t="s">
        <v>889</v>
      </c>
      <c r="B56" s="484">
        <v>1</v>
      </c>
      <c r="C56" s="474"/>
      <c r="D56" s="485" t="str">
        <f>D97</f>
        <v>収益価格</v>
      </c>
      <c r="E56" s="486">
        <f>E97</f>
        <v>89814</v>
      </c>
      <c r="F56" s="487"/>
      <c r="G56" s="375"/>
      <c r="I56" s="1737"/>
      <c r="J56" s="1767"/>
      <c r="K56" s="1767">
        <v>100</v>
      </c>
      <c r="L56" s="1717">
        <f>E25</f>
        <v>100</v>
      </c>
      <c r="M56" s="1717">
        <v>100</v>
      </c>
      <c r="N56" s="1717">
        <v>100</v>
      </c>
      <c r="O56" s="1717">
        <v>100</v>
      </c>
      <c r="P56" s="1717">
        <f>E30</f>
        <v>100</v>
      </c>
      <c r="Q56" s="1775"/>
      <c r="R56" s="1777">
        <f>B35</f>
        <v>0</v>
      </c>
      <c r="S56" s="1762"/>
      <c r="T56" s="1735" t="s">
        <v>349</v>
      </c>
      <c r="U56" s="1738"/>
      <c r="V56" s="1735"/>
      <c r="W56" s="1738"/>
      <c r="X56" s="1738"/>
      <c r="Y56" s="1738"/>
      <c r="Z56" s="1739"/>
    </row>
    <row r="57" spans="1:26" s="51" customFormat="1" ht="19.5" customHeight="1">
      <c r="A57" s="375" t="s">
        <v>955</v>
      </c>
      <c r="B57" s="488"/>
      <c r="C57" s="375"/>
      <c r="D57" s="375"/>
      <c r="E57" s="375"/>
      <c r="F57" s="375"/>
      <c r="G57" s="375"/>
      <c r="I57" s="2030" t="str">
        <f>A25</f>
        <v>2002　21</v>
      </c>
      <c r="J57" s="1769">
        <f>C25</f>
        <v>1248</v>
      </c>
      <c r="K57" s="1768" t="s">
        <v>1157</v>
      </c>
      <c r="L57" s="1313" t="s">
        <v>1157</v>
      </c>
      <c r="M57" s="1313" t="s">
        <v>1157</v>
      </c>
      <c r="N57" s="1313" t="s">
        <v>1157</v>
      </c>
      <c r="O57" s="1313" t="s">
        <v>1157</v>
      </c>
      <c r="P57" s="1313" t="s">
        <v>1157</v>
      </c>
      <c r="Q57" s="1773">
        <f>G30</f>
        <v>1314</v>
      </c>
      <c r="R57" s="1870"/>
      <c r="S57" s="1762"/>
      <c r="T57" s="1842" t="s">
        <v>475</v>
      </c>
      <c r="U57" s="1871">
        <f>B98</f>
        <v>0.9678</v>
      </c>
      <c r="V57" s="1787">
        <f>ROUND(V55*B98,0)</f>
        <v>1033405</v>
      </c>
      <c r="W57" s="1215"/>
      <c r="X57" s="1788">
        <f>IF(V57=0,0,ROUND(V57/D2,0))</f>
        <v>4042</v>
      </c>
      <c r="Y57" s="1160"/>
      <c r="Z57" s="1349"/>
    </row>
    <row r="58" spans="1:26" s="51" customFormat="1" ht="19.5" customHeight="1" thickBot="1">
      <c r="A58" s="375" t="s">
        <v>224</v>
      </c>
      <c r="B58" s="489"/>
      <c r="C58" s="411"/>
      <c r="D58" s="411"/>
      <c r="E58" s="411"/>
      <c r="F58" s="411"/>
      <c r="G58" s="412"/>
      <c r="I58" s="2031"/>
      <c r="J58" s="1770">
        <f>B25</f>
        <v>1197</v>
      </c>
      <c r="K58" s="1768">
        <f>D25</f>
        <v>100</v>
      </c>
      <c r="L58" s="1313">
        <v>100</v>
      </c>
      <c r="M58" s="1313">
        <f>B30</f>
        <v>100</v>
      </c>
      <c r="N58" s="1313">
        <f>C30</f>
        <v>100</v>
      </c>
      <c r="O58" s="1313">
        <f>D30</f>
        <v>95</v>
      </c>
      <c r="P58" s="1313">
        <v>100</v>
      </c>
      <c r="Q58" s="1774">
        <f>F30</f>
        <v>1260</v>
      </c>
      <c r="R58" s="1870" t="s">
        <v>486</v>
      </c>
      <c r="S58" s="1762"/>
      <c r="T58" s="1161"/>
      <c r="U58" s="1161"/>
      <c r="V58" s="1161"/>
      <c r="W58" s="1161"/>
      <c r="X58" s="1161"/>
      <c r="Y58" s="1161"/>
      <c r="Z58" s="1161"/>
    </row>
    <row r="59" spans="1:26" s="51" customFormat="1" ht="19.5" customHeight="1" thickBot="1" thickTop="1">
      <c r="A59" s="490" t="s">
        <v>487</v>
      </c>
      <c r="B59" s="491">
        <f>ROUNDDOWN((D2-B40)/D59*F59,0)</f>
        <v>3</v>
      </c>
      <c r="C59" s="492" t="s">
        <v>943</v>
      </c>
      <c r="D59" s="493">
        <v>25</v>
      </c>
      <c r="E59" s="492" t="s">
        <v>944</v>
      </c>
      <c r="F59" s="494">
        <v>0.9</v>
      </c>
      <c r="G59" s="412"/>
      <c r="I59" s="1737"/>
      <c r="J59" s="1767"/>
      <c r="K59" s="1767">
        <v>100</v>
      </c>
      <c r="L59" s="1717">
        <f>E26</f>
        <v>100</v>
      </c>
      <c r="M59" s="1717">
        <v>100</v>
      </c>
      <c r="N59" s="1717">
        <v>100</v>
      </c>
      <c r="O59" s="1717">
        <v>100</v>
      </c>
      <c r="P59" s="1717">
        <f>E31</f>
        <v>100</v>
      </c>
      <c r="Q59" s="1775"/>
      <c r="R59" s="1777">
        <f>B34</f>
        <v>1238</v>
      </c>
      <c r="S59" s="1762"/>
      <c r="T59" s="1872"/>
      <c r="U59" s="1167" t="s">
        <v>782</v>
      </c>
      <c r="V59" s="1166"/>
      <c r="W59" s="1873">
        <f>B83-B85</f>
        <v>0.045000000000000005</v>
      </c>
      <c r="X59" s="1873"/>
      <c r="Y59" s="1874"/>
      <c r="Z59" s="1875"/>
    </row>
    <row r="60" spans="1:26" s="51" customFormat="1" ht="19.5" customHeight="1" thickTop="1">
      <c r="A60" s="412"/>
      <c r="B60" s="412"/>
      <c r="C60" s="412"/>
      <c r="D60" s="412"/>
      <c r="E60" s="454" t="s">
        <v>669</v>
      </c>
      <c r="F60" s="375"/>
      <c r="G60" s="375"/>
      <c r="I60" s="2030">
        <f>A26</f>
        <v>0</v>
      </c>
      <c r="J60" s="1769">
        <f>C26</f>
        <v>0</v>
      </c>
      <c r="K60" s="1768" t="s">
        <v>1157</v>
      </c>
      <c r="L60" s="1313" t="s">
        <v>1157</v>
      </c>
      <c r="M60" s="1313" t="s">
        <v>1157</v>
      </c>
      <c r="N60" s="1313" t="s">
        <v>1157</v>
      </c>
      <c r="O60" s="1313" t="s">
        <v>1157</v>
      </c>
      <c r="P60" s="1313" t="s">
        <v>1157</v>
      </c>
      <c r="Q60" s="1773">
        <f>G31</f>
        <v>0</v>
      </c>
      <c r="R60" s="1814"/>
      <c r="S60" s="1762"/>
      <c r="T60" s="1171" t="s">
        <v>945</v>
      </c>
      <c r="U60" s="1755"/>
      <c r="V60" s="1161" t="s">
        <v>946</v>
      </c>
      <c r="W60" s="1220"/>
      <c r="X60" s="1876" t="s">
        <v>649</v>
      </c>
      <c r="Y60" s="1190"/>
      <c r="Z60" s="1877"/>
    </row>
    <row r="61" spans="1:26" ht="19.5" customHeight="1" thickBot="1">
      <c r="A61" s="495" t="s">
        <v>650</v>
      </c>
      <c r="B61" s="496">
        <v>0.06</v>
      </c>
      <c r="C61" s="375"/>
      <c r="D61" s="375"/>
      <c r="E61" s="375"/>
      <c r="F61" s="375"/>
      <c r="G61" s="375"/>
      <c r="H61" s="51"/>
      <c r="I61" s="2031"/>
      <c r="J61" s="1771">
        <f>B26</f>
        <v>0</v>
      </c>
      <c r="K61" s="1772">
        <f>D26</f>
        <v>100</v>
      </c>
      <c r="L61" s="1716">
        <v>100</v>
      </c>
      <c r="M61" s="1716">
        <f>B31</f>
        <v>100</v>
      </c>
      <c r="N61" s="1716">
        <f>C31</f>
        <v>100</v>
      </c>
      <c r="O61" s="1716">
        <f>D31</f>
        <v>100</v>
      </c>
      <c r="P61" s="1716">
        <v>100</v>
      </c>
      <c r="Q61" s="1776">
        <f>F31</f>
        <v>0</v>
      </c>
      <c r="R61" s="1751"/>
      <c r="S61" s="1845"/>
      <c r="T61" s="1279" t="s">
        <v>506</v>
      </c>
      <c r="U61" s="1878"/>
      <c r="V61" s="1879">
        <f>ROUND(V57/W59,0)</f>
        <v>22964556</v>
      </c>
      <c r="W61" s="1880"/>
      <c r="X61" s="1881">
        <f>IF(V61=0,0,ROUND(V61/D2,0))</f>
        <v>89814</v>
      </c>
      <c r="Y61" s="1880"/>
      <c r="Z61" s="1391"/>
    </row>
    <row r="62" spans="1:7" ht="18" customHeight="1" thickTop="1">
      <c r="A62" s="495" t="s">
        <v>837</v>
      </c>
      <c r="B62" s="496">
        <v>0.03</v>
      </c>
      <c r="C62" s="375"/>
      <c r="D62" s="375"/>
      <c r="E62" s="375"/>
      <c r="F62" s="375"/>
      <c r="G62" s="375"/>
    </row>
    <row r="63" spans="1:7" ht="18" customHeight="1">
      <c r="A63" s="495" t="s">
        <v>397</v>
      </c>
      <c r="B63" s="497">
        <v>0</v>
      </c>
      <c r="C63" s="375" t="s">
        <v>1309</v>
      </c>
      <c r="D63" s="375"/>
      <c r="E63" s="375"/>
      <c r="F63" s="375"/>
      <c r="G63" s="375"/>
    </row>
    <row r="64" spans="1:7" ht="18" customHeight="1">
      <c r="A64" s="495" t="s">
        <v>1310</v>
      </c>
      <c r="B64" s="496">
        <v>0.5</v>
      </c>
      <c r="C64" s="375" t="s">
        <v>605</v>
      </c>
      <c r="D64" s="375"/>
      <c r="E64" s="375"/>
      <c r="F64" s="375"/>
      <c r="G64" s="375"/>
    </row>
    <row r="65" spans="1:7" ht="18" customHeight="1">
      <c r="A65" s="495" t="s">
        <v>752</v>
      </c>
      <c r="B65" s="496">
        <v>0.016</v>
      </c>
      <c r="C65" s="375" t="s">
        <v>909</v>
      </c>
      <c r="D65" s="375"/>
      <c r="E65" s="375"/>
      <c r="F65" s="375"/>
      <c r="G65" s="375"/>
    </row>
    <row r="66" spans="1:7" ht="18" customHeight="1">
      <c r="A66" s="495" t="s">
        <v>166</v>
      </c>
      <c r="B66" s="496">
        <v>0.001</v>
      </c>
      <c r="C66" s="375"/>
      <c r="D66" s="375"/>
      <c r="E66" s="375"/>
      <c r="F66" s="375"/>
      <c r="G66" s="375"/>
    </row>
    <row r="67" spans="1:7" ht="18" customHeight="1">
      <c r="A67" s="495" t="s">
        <v>177</v>
      </c>
      <c r="B67" s="496">
        <v>0.5</v>
      </c>
      <c r="C67" s="375" t="s">
        <v>300</v>
      </c>
      <c r="D67" s="375"/>
      <c r="E67" s="375"/>
      <c r="F67" s="375"/>
      <c r="G67" s="375"/>
    </row>
    <row r="68" spans="1:7" ht="18" customHeight="1">
      <c r="A68" s="498" t="s">
        <v>751</v>
      </c>
      <c r="B68" s="499">
        <v>0.001</v>
      </c>
      <c r="C68" s="375" t="s">
        <v>1257</v>
      </c>
      <c r="D68" s="375"/>
      <c r="E68" s="375"/>
      <c r="F68" s="375"/>
      <c r="G68" s="375"/>
    </row>
    <row r="69" spans="1:7" ht="18" customHeight="1">
      <c r="A69" s="463" t="s">
        <v>1199</v>
      </c>
      <c r="B69" s="500">
        <v>0</v>
      </c>
      <c r="C69" s="375" t="s">
        <v>754</v>
      </c>
      <c r="D69" s="375"/>
      <c r="E69" s="375"/>
      <c r="F69" s="375"/>
      <c r="G69" s="375"/>
    </row>
    <row r="70" spans="1:7" ht="18" customHeight="1">
      <c r="A70" s="444" t="s">
        <v>755</v>
      </c>
      <c r="B70" s="501"/>
      <c r="C70" s="502"/>
      <c r="D70" s="503"/>
      <c r="E70" s="375"/>
      <c r="F70" s="375"/>
      <c r="G70" s="375"/>
    </row>
    <row r="71" spans="1:7" ht="18" customHeight="1">
      <c r="A71" s="375"/>
      <c r="B71" s="375"/>
      <c r="C71" s="375"/>
      <c r="D71" s="375"/>
      <c r="E71" s="375"/>
      <c r="F71" s="375"/>
      <c r="G71" s="375"/>
    </row>
    <row r="72" spans="1:7" ht="18" customHeight="1">
      <c r="A72" s="375" t="s">
        <v>366</v>
      </c>
      <c r="B72" s="375"/>
      <c r="C72" s="375"/>
      <c r="D72" s="375"/>
      <c r="E72" s="375"/>
      <c r="F72" s="375"/>
      <c r="G72" s="375"/>
    </row>
    <row r="73" spans="1:7" ht="18" customHeight="1">
      <c r="A73" s="495" t="s">
        <v>367</v>
      </c>
      <c r="B73" s="459">
        <v>1</v>
      </c>
      <c r="C73" s="411" t="s">
        <v>368</v>
      </c>
      <c r="D73" s="412"/>
      <c r="E73" s="504" t="s">
        <v>103</v>
      </c>
      <c r="F73" s="505" t="s">
        <v>409</v>
      </c>
      <c r="G73" s="412"/>
    </row>
    <row r="74" spans="1:7" ht="18" customHeight="1">
      <c r="A74" s="504" t="s">
        <v>987</v>
      </c>
      <c r="B74" s="506">
        <f>ROUND(E74*F76*F74,0)</f>
        <v>9975</v>
      </c>
      <c r="C74" s="412" t="s">
        <v>774</v>
      </c>
      <c r="D74" s="412"/>
      <c r="E74" s="507">
        <v>95000</v>
      </c>
      <c r="F74" s="508">
        <v>0.15</v>
      </c>
      <c r="G74" s="412"/>
    </row>
    <row r="75" spans="1:7" ht="18" customHeight="1">
      <c r="A75" s="504" t="s">
        <v>775</v>
      </c>
      <c r="B75" s="509">
        <f>B65</f>
        <v>0.016</v>
      </c>
      <c r="C75" s="412" t="s">
        <v>776</v>
      </c>
      <c r="D75" s="412"/>
      <c r="E75" s="504"/>
      <c r="F75" s="510" t="s">
        <v>777</v>
      </c>
      <c r="G75" s="412"/>
    </row>
    <row r="76" spans="1:7" ht="18" customHeight="1">
      <c r="A76" s="511" t="s">
        <v>481</v>
      </c>
      <c r="B76" s="469">
        <f>ROUND(B74*D2*B75,0)</f>
        <v>40808</v>
      </c>
      <c r="C76" s="412"/>
      <c r="D76" s="412"/>
      <c r="E76" s="511"/>
      <c r="F76" s="512">
        <v>0.7</v>
      </c>
      <c r="G76" s="412"/>
    </row>
    <row r="77" spans="1:7" ht="18" customHeight="1">
      <c r="A77" s="412"/>
      <c r="B77" s="412"/>
      <c r="C77" s="412"/>
      <c r="D77" s="412"/>
      <c r="E77" s="511" t="s">
        <v>482</v>
      </c>
      <c r="F77" s="513"/>
      <c r="G77" s="412"/>
    </row>
    <row r="78" spans="1:7" ht="18" customHeight="1">
      <c r="A78" s="412"/>
      <c r="B78" s="412"/>
      <c r="C78" s="412"/>
      <c r="D78" s="412"/>
      <c r="E78" s="412"/>
      <c r="F78" s="412"/>
      <c r="G78" s="412"/>
    </row>
    <row r="79" spans="1:7" ht="18" customHeight="1">
      <c r="A79" s="412"/>
      <c r="B79" s="412"/>
      <c r="C79" s="412"/>
      <c r="D79" s="412"/>
      <c r="E79" s="412"/>
      <c r="F79" s="412"/>
      <c r="G79" s="412"/>
    </row>
    <row r="80" spans="1:7" ht="18" customHeight="1">
      <c r="A80" s="412"/>
      <c r="B80" s="412"/>
      <c r="C80" s="514" t="s">
        <v>1084</v>
      </c>
      <c r="D80" s="515">
        <f>E97</f>
        <v>89814</v>
      </c>
      <c r="E80" s="516"/>
      <c r="F80" s="517"/>
      <c r="G80" s="517"/>
    </row>
    <row r="81" spans="1:7" ht="18" customHeight="1">
      <c r="A81" s="517"/>
      <c r="B81" s="517"/>
      <c r="C81" s="517"/>
      <c r="D81" s="517"/>
      <c r="E81" s="517"/>
      <c r="F81" s="517"/>
      <c r="G81" s="517"/>
    </row>
    <row r="82" spans="1:7" ht="18" customHeight="1">
      <c r="A82" s="518" t="s">
        <v>1050</v>
      </c>
      <c r="B82" s="517"/>
      <c r="C82" s="517"/>
      <c r="D82" s="454" t="s">
        <v>334</v>
      </c>
      <c r="E82" s="375"/>
      <c r="F82" s="375"/>
      <c r="G82" s="375"/>
    </row>
    <row r="83" spans="1:7" ht="18" customHeight="1">
      <c r="A83" s="495" t="s">
        <v>960</v>
      </c>
      <c r="B83" s="519">
        <f>E7</f>
        <v>0.05</v>
      </c>
      <c r="C83" s="411" t="s">
        <v>975</v>
      </c>
      <c r="D83" s="412"/>
      <c r="E83" s="412"/>
      <c r="F83" s="412"/>
      <c r="G83" s="412"/>
    </row>
    <row r="84" spans="1:7" ht="18" customHeight="1">
      <c r="A84" s="504" t="s">
        <v>524</v>
      </c>
      <c r="B84" s="520">
        <v>0.85</v>
      </c>
      <c r="C84" s="514" t="s">
        <v>524</v>
      </c>
      <c r="D84" s="521">
        <f>1-B84</f>
        <v>0.15000000000000002</v>
      </c>
      <c r="E84" s="412"/>
      <c r="F84" s="412"/>
      <c r="G84" s="412"/>
    </row>
    <row r="85" spans="1:7" ht="18" customHeight="1">
      <c r="A85" s="504" t="s">
        <v>838</v>
      </c>
      <c r="B85" s="522">
        <v>0.005</v>
      </c>
      <c r="C85" s="468" t="s">
        <v>478</v>
      </c>
      <c r="D85" s="504" t="s">
        <v>479</v>
      </c>
      <c r="E85" s="523" t="s">
        <v>332</v>
      </c>
      <c r="F85" s="524" t="s">
        <v>333</v>
      </c>
      <c r="G85" s="412"/>
    </row>
    <row r="86" spans="1:7" ht="18" customHeight="1">
      <c r="A86" s="504" t="s">
        <v>483</v>
      </c>
      <c r="B86" s="525">
        <v>25</v>
      </c>
      <c r="C86" s="412"/>
      <c r="D86" s="526" t="s">
        <v>524</v>
      </c>
      <c r="E86" s="527" t="s">
        <v>484</v>
      </c>
      <c r="F86" s="528" t="s">
        <v>477</v>
      </c>
      <c r="G86" s="412"/>
    </row>
    <row r="87" spans="1:7" ht="18" customHeight="1">
      <c r="A87" s="511" t="s">
        <v>562</v>
      </c>
      <c r="B87" s="529">
        <v>12</v>
      </c>
      <c r="C87" s="412"/>
      <c r="D87" s="526"/>
      <c r="E87" s="527" t="s">
        <v>563</v>
      </c>
      <c r="F87" s="528" t="s">
        <v>564</v>
      </c>
      <c r="G87" s="412"/>
    </row>
    <row r="88" spans="1:7" ht="18" customHeight="1">
      <c r="A88" s="412" t="s">
        <v>669</v>
      </c>
      <c r="B88" s="412"/>
      <c r="C88" s="412"/>
      <c r="D88" s="530"/>
      <c r="E88" s="531" t="s">
        <v>1043</v>
      </c>
      <c r="F88" s="532" t="s">
        <v>560</v>
      </c>
      <c r="G88" s="412"/>
    </row>
    <row r="89" spans="1:7" ht="18" customHeight="1">
      <c r="A89" s="504" t="s">
        <v>561</v>
      </c>
      <c r="B89" s="533">
        <v>125000</v>
      </c>
      <c r="C89" s="412" t="s">
        <v>104</v>
      </c>
      <c r="D89" s="514" t="s">
        <v>315</v>
      </c>
      <c r="E89" s="534">
        <f>ROUND(B89*B49,0)</f>
        <v>37500000</v>
      </c>
      <c r="F89" s="535"/>
      <c r="G89" s="412"/>
    </row>
    <row r="90" spans="1:7" ht="18" customHeight="1">
      <c r="A90" s="504" t="s">
        <v>1198</v>
      </c>
      <c r="B90" s="536">
        <v>0</v>
      </c>
      <c r="C90" s="412"/>
      <c r="D90" s="514" t="s">
        <v>747</v>
      </c>
      <c r="E90" s="537">
        <f>ROUND(E89*(1+B90),0)</f>
        <v>37500000</v>
      </c>
      <c r="F90" s="535"/>
      <c r="G90" s="412"/>
    </row>
    <row r="91" spans="1:7" ht="18" customHeight="1">
      <c r="A91" s="511" t="s">
        <v>716</v>
      </c>
      <c r="B91" s="538">
        <f>ROUND(B92*B84+B93*D84,7)</f>
        <v>0.0739881</v>
      </c>
      <c r="C91" s="412"/>
      <c r="D91" s="504" t="s">
        <v>717</v>
      </c>
      <c r="E91" s="523" t="s">
        <v>439</v>
      </c>
      <c r="F91" s="524"/>
      <c r="G91" s="412"/>
    </row>
    <row r="92" spans="1:7" ht="18" customHeight="1">
      <c r="A92" s="504" t="s">
        <v>440</v>
      </c>
      <c r="B92" s="539">
        <f>ROUND((B83-B85)/(1-((1+B85)/(1+B83))^(B86)),7)</f>
        <v>0.0676201</v>
      </c>
      <c r="C92" s="412"/>
      <c r="D92" s="526"/>
      <c r="E92" s="527" t="s">
        <v>494</v>
      </c>
      <c r="F92" s="528"/>
      <c r="G92" s="412"/>
    </row>
    <row r="93" spans="1:7" ht="18" customHeight="1">
      <c r="A93" s="511" t="s">
        <v>495</v>
      </c>
      <c r="B93" s="538">
        <f>ROUND((B83-B85)/(1-((1+B85)/(1+B83))^(B87)),7)</f>
        <v>0.1100734</v>
      </c>
      <c r="C93" s="412"/>
      <c r="D93" s="526"/>
      <c r="E93" s="527" t="s">
        <v>660</v>
      </c>
      <c r="F93" s="528"/>
      <c r="G93" s="412"/>
    </row>
    <row r="94" spans="1:7" ht="18" customHeight="1">
      <c r="A94" s="412"/>
      <c r="B94" s="412"/>
      <c r="C94" s="412"/>
      <c r="D94" s="526"/>
      <c r="E94" s="527" t="s">
        <v>661</v>
      </c>
      <c r="F94" s="528"/>
      <c r="G94" s="412"/>
    </row>
    <row r="95" spans="1:7" ht="18" customHeight="1">
      <c r="A95" s="412"/>
      <c r="B95" s="412"/>
      <c r="C95" s="412"/>
      <c r="D95" s="530"/>
      <c r="E95" s="531" t="s">
        <v>662</v>
      </c>
      <c r="F95" s="532"/>
      <c r="G95" s="412"/>
    </row>
    <row r="96" spans="1:7" ht="18" customHeight="1">
      <c r="A96" s="412" t="s">
        <v>394</v>
      </c>
      <c r="B96" s="412"/>
      <c r="C96" s="412"/>
      <c r="D96" s="412" t="s">
        <v>1031</v>
      </c>
      <c r="E96" s="412"/>
      <c r="F96" s="412"/>
      <c r="G96" s="412"/>
    </row>
    <row r="97" spans="1:7" ht="18" customHeight="1">
      <c r="A97" s="504" t="s">
        <v>1032</v>
      </c>
      <c r="B97" s="540">
        <v>0.5</v>
      </c>
      <c r="C97" s="412"/>
      <c r="D97" s="514" t="s">
        <v>1084</v>
      </c>
      <c r="E97" s="515">
        <f>X61</f>
        <v>89814</v>
      </c>
      <c r="F97" s="516"/>
      <c r="G97" s="517"/>
    </row>
    <row r="98" spans="1:7" ht="18" customHeight="1">
      <c r="A98" s="541" t="s">
        <v>777</v>
      </c>
      <c r="B98" s="542">
        <f>ROUND(C98*C99/C100,4)</f>
        <v>0.9678</v>
      </c>
      <c r="C98" s="517">
        <f>((1+B85)/(1+B83))^B97</f>
        <v>0.9783367810436532</v>
      </c>
      <c r="D98" s="517"/>
      <c r="E98" s="517"/>
      <c r="F98" s="517"/>
      <c r="G98" s="517"/>
    </row>
    <row r="99" spans="1:7" ht="18" customHeight="1">
      <c r="A99" s="517"/>
      <c r="B99" s="517"/>
      <c r="C99" s="517">
        <f>1-((1+B85)/(1+B83))^B86</f>
        <v>0.6654823269100215</v>
      </c>
      <c r="D99" s="543" t="s">
        <v>1032</v>
      </c>
      <c r="E99" s="544" t="s">
        <v>1033</v>
      </c>
      <c r="F99" s="545"/>
      <c r="G99" s="517"/>
    </row>
    <row r="100" spans="1:7" ht="18" customHeight="1">
      <c r="A100" s="517"/>
      <c r="B100" s="517"/>
      <c r="C100" s="517">
        <f>1-((1+B85)/(1+B83))^(B97+B86)</f>
        <v>0.6727290565069375</v>
      </c>
      <c r="D100" s="546"/>
      <c r="E100" s="547" t="s">
        <v>828</v>
      </c>
      <c r="F100" s="548"/>
      <c r="G100" s="517"/>
    </row>
    <row r="101" spans="1:7" ht="18" customHeight="1">
      <c r="A101" s="517"/>
      <c r="B101" s="517"/>
      <c r="C101" s="517"/>
      <c r="D101" s="517"/>
      <c r="E101" s="517"/>
      <c r="F101" s="517"/>
      <c r="G101" s="517"/>
    </row>
    <row r="102" spans="1:7" ht="18">
      <c r="A102" s="517"/>
      <c r="B102" s="517"/>
      <c r="C102" s="517"/>
      <c r="D102" s="517"/>
      <c r="E102" s="517"/>
      <c r="F102" s="517"/>
      <c r="G102" s="517"/>
    </row>
    <row r="103" spans="1:7" ht="18">
      <c r="A103" s="517"/>
      <c r="B103" s="517"/>
      <c r="C103" s="517"/>
      <c r="D103" s="517"/>
      <c r="E103" s="517"/>
      <c r="F103" s="517"/>
      <c r="G103" s="517"/>
    </row>
    <row r="104" spans="1:7" ht="18">
      <c r="A104" s="517"/>
      <c r="B104" s="517"/>
      <c r="C104" s="517"/>
      <c r="D104" s="517"/>
      <c r="E104" s="517"/>
      <c r="F104" s="517"/>
      <c r="G104" s="517"/>
    </row>
    <row r="105" spans="1:7" ht="18">
      <c r="A105" s="517"/>
      <c r="B105" s="517"/>
      <c r="C105" s="517"/>
      <c r="D105" s="517"/>
      <c r="E105" s="517"/>
      <c r="F105" s="517"/>
      <c r="G105" s="517"/>
    </row>
    <row r="106" spans="1:7" ht="18">
      <c r="A106" s="517"/>
      <c r="B106" s="517"/>
      <c r="C106" s="517"/>
      <c r="D106" s="517"/>
      <c r="E106" s="517"/>
      <c r="F106" s="517"/>
      <c r="G106" s="517"/>
    </row>
    <row r="107" spans="1:7" ht="18">
      <c r="A107" s="517"/>
      <c r="B107" s="517"/>
      <c r="C107" s="517"/>
      <c r="D107" s="517"/>
      <c r="E107" s="517"/>
      <c r="F107" s="517"/>
      <c r="G107" s="517"/>
    </row>
    <row r="108" spans="1:7" ht="18">
      <c r="A108" s="517"/>
      <c r="B108" s="517"/>
      <c r="C108" s="517"/>
      <c r="D108" s="517"/>
      <c r="E108" s="517"/>
      <c r="F108" s="517"/>
      <c r="G108" s="517"/>
    </row>
    <row r="109" spans="1:7" ht="18">
      <c r="A109" s="517"/>
      <c r="B109" s="517"/>
      <c r="C109" s="517"/>
      <c r="D109" s="517"/>
      <c r="E109" s="517"/>
      <c r="F109" s="517"/>
      <c r="G109" s="517"/>
    </row>
    <row r="110" spans="1:7" ht="18">
      <c r="A110" s="517"/>
      <c r="B110" s="517"/>
      <c r="C110" s="517"/>
      <c r="D110" s="517"/>
      <c r="E110" s="517"/>
      <c r="F110" s="517"/>
      <c r="G110" s="517"/>
    </row>
    <row r="111" spans="1:7" ht="18">
      <c r="A111" s="549"/>
      <c r="B111" s="549"/>
      <c r="C111" s="549"/>
      <c r="D111" s="549"/>
      <c r="E111" s="549"/>
      <c r="F111" s="549"/>
      <c r="G111" s="549"/>
    </row>
    <row r="112" spans="1:7" ht="18">
      <c r="A112" s="549"/>
      <c r="B112" s="549"/>
      <c r="C112" s="549"/>
      <c r="D112" s="549"/>
      <c r="E112" s="549"/>
      <c r="F112" s="549"/>
      <c r="G112" s="549"/>
    </row>
    <row r="113" spans="1:7" ht="18">
      <c r="A113" s="549"/>
      <c r="B113" s="549"/>
      <c r="C113" s="549"/>
      <c r="D113" s="549"/>
      <c r="E113" s="549"/>
      <c r="F113" s="549"/>
      <c r="G113" s="549"/>
    </row>
    <row r="114" spans="1:7" ht="18">
      <c r="A114" s="549"/>
      <c r="B114" s="549"/>
      <c r="C114" s="549"/>
      <c r="D114" s="549"/>
      <c r="E114" s="549"/>
      <c r="F114" s="549"/>
      <c r="G114" s="549"/>
    </row>
    <row r="115" spans="1:7" ht="18">
      <c r="A115" s="549"/>
      <c r="B115" s="549"/>
      <c r="C115" s="549"/>
      <c r="D115" s="549"/>
      <c r="E115" s="549"/>
      <c r="F115" s="549"/>
      <c r="G115" s="549"/>
    </row>
    <row r="116" spans="1:7" ht="18">
      <c r="A116" s="549"/>
      <c r="B116" s="549"/>
      <c r="C116" s="549"/>
      <c r="D116" s="549"/>
      <c r="E116" s="549"/>
      <c r="F116" s="549"/>
      <c r="G116" s="549"/>
    </row>
    <row r="117" spans="1:7" ht="18">
      <c r="A117" s="549"/>
      <c r="B117" s="549"/>
      <c r="C117" s="549"/>
      <c r="D117" s="549"/>
      <c r="E117" s="549"/>
      <c r="F117" s="549"/>
      <c r="G117" s="549"/>
    </row>
    <row r="118" spans="1:7" ht="18">
      <c r="A118" s="549"/>
      <c r="B118" s="549"/>
      <c r="C118" s="549"/>
      <c r="D118" s="549"/>
      <c r="E118" s="549"/>
      <c r="F118" s="549"/>
      <c r="G118" s="549"/>
    </row>
    <row r="119" spans="1:7" ht="18">
      <c r="A119" s="549"/>
      <c r="B119" s="549"/>
      <c r="C119" s="549"/>
      <c r="D119" s="549"/>
      <c r="E119" s="549"/>
      <c r="F119" s="549"/>
      <c r="G119" s="549"/>
    </row>
    <row r="120" spans="1:7" ht="18">
      <c r="A120" s="549"/>
      <c r="B120" s="549"/>
      <c r="C120" s="549"/>
      <c r="D120" s="549"/>
      <c r="E120" s="549"/>
      <c r="F120" s="549"/>
      <c r="G120" s="549"/>
    </row>
    <row r="121" spans="1:7" ht="18">
      <c r="A121" s="549"/>
      <c r="B121" s="549"/>
      <c r="C121" s="549"/>
      <c r="D121" s="549"/>
      <c r="E121" s="549"/>
      <c r="F121" s="549"/>
      <c r="G121" s="549"/>
    </row>
    <row r="122" spans="1:7" ht="18">
      <c r="A122" s="549"/>
      <c r="B122" s="549"/>
      <c r="C122" s="549"/>
      <c r="D122" s="549"/>
      <c r="E122" s="549"/>
      <c r="F122" s="549"/>
      <c r="G122" s="549"/>
    </row>
    <row r="123" spans="1:7" ht="18">
      <c r="A123" s="549"/>
      <c r="B123" s="549"/>
      <c r="C123" s="549"/>
      <c r="D123" s="549"/>
      <c r="E123" s="549"/>
      <c r="F123" s="549"/>
      <c r="G123" s="549"/>
    </row>
    <row r="124" spans="1:7" ht="18">
      <c r="A124" s="549"/>
      <c r="B124" s="549"/>
      <c r="C124" s="549"/>
      <c r="D124" s="549"/>
      <c r="E124" s="549"/>
      <c r="F124" s="549"/>
      <c r="G124" s="549"/>
    </row>
    <row r="125" spans="1:7" ht="18">
      <c r="A125" s="549"/>
      <c r="B125" s="549"/>
      <c r="C125" s="549"/>
      <c r="D125" s="549"/>
      <c r="E125" s="549"/>
      <c r="F125" s="549"/>
      <c r="G125" s="549"/>
    </row>
    <row r="126" spans="1:7" ht="18">
      <c r="A126" s="549"/>
      <c r="B126" s="549"/>
      <c r="C126" s="549"/>
      <c r="D126" s="549"/>
      <c r="E126" s="549"/>
      <c r="F126" s="549"/>
      <c r="G126" s="549"/>
    </row>
  </sheetData>
  <sheetProtection/>
  <mergeCells count="3">
    <mergeCell ref="I54:I55"/>
    <mergeCell ref="I57:I58"/>
    <mergeCell ref="I60:I61"/>
  </mergeCells>
  <printOptions/>
  <pageMargins left="1.1811023622047245" right="0" top="0.74" bottom="0.56" header="0.3937007874015748" footer="0.64"/>
  <pageSetup orientation="portrait" paperSize="9" scale="60"/>
</worksheet>
</file>

<file path=xl/worksheets/sheet9.xml><?xml version="1.0" encoding="utf-8"?>
<worksheet xmlns="http://schemas.openxmlformats.org/spreadsheetml/2006/main" xmlns:r="http://schemas.openxmlformats.org/officeDocument/2006/relationships">
  <sheetPr codeName="Sheet8"/>
  <dimension ref="A1:CJ320"/>
  <sheetViews>
    <sheetView zoomScale="75" zoomScaleNormal="75" workbookViewId="0" topLeftCell="A1">
      <selection activeCell="J22" sqref="J22"/>
    </sheetView>
  </sheetViews>
  <sheetFormatPr defaultColWidth="9" defaultRowHeight="24.75" customHeight="1"/>
  <cols>
    <col min="1" max="1" width="12" style="3" customWidth="1"/>
    <col min="2" max="2" width="12.19921875" style="3" customWidth="1"/>
    <col min="3" max="3" width="6.8984375" style="3" customWidth="1"/>
    <col min="4" max="4" width="11.59765625" style="3" customWidth="1"/>
    <col min="5" max="6" width="9.5" style="3" customWidth="1"/>
    <col min="7" max="7" width="7.5" style="3" customWidth="1"/>
    <col min="8" max="8" width="12.19921875" style="3" customWidth="1"/>
    <col min="9" max="9" width="7.59765625" style="3" customWidth="1"/>
    <col min="10" max="10" width="25.5" style="3" customWidth="1"/>
    <col min="11" max="11" width="7.59765625" style="3" customWidth="1"/>
    <col min="12" max="12" width="9.19921875" style="3" customWidth="1"/>
    <col min="13" max="14" width="7.59765625" style="3" customWidth="1"/>
    <col min="15" max="15" width="7.8984375" style="3" customWidth="1"/>
    <col min="16" max="16" width="7.69921875" style="3" customWidth="1"/>
    <col min="17" max="17" width="9.09765625" style="3" customWidth="1"/>
    <col min="18" max="18" width="7.59765625" style="3" customWidth="1"/>
    <col min="19" max="20" width="10.19921875" style="3" customWidth="1"/>
    <col min="21" max="21" width="7.69921875" style="3" customWidth="1"/>
    <col min="22" max="22" width="12.5" style="3" customWidth="1"/>
    <col min="23" max="23" width="9.19921875" style="3" customWidth="1"/>
    <col min="24" max="24" width="7.59765625" style="3" customWidth="1"/>
    <col min="25" max="25" width="9.19921875" style="3" customWidth="1"/>
    <col min="26" max="26" width="7.59765625" style="3" customWidth="1"/>
    <col min="27" max="27" width="8" style="3" customWidth="1"/>
    <col min="28" max="28" width="7.69921875" style="3" customWidth="1"/>
    <col min="29" max="29" width="9.09765625" style="3" customWidth="1"/>
    <col min="30" max="31" width="4.5" style="3" customWidth="1"/>
    <col min="32" max="33" width="7.69921875" style="3" customWidth="1"/>
    <col min="34" max="34" width="9.59765625" style="3" customWidth="1"/>
    <col min="35" max="35" width="10" style="3" customWidth="1"/>
    <col min="36" max="36" width="11" style="3" customWidth="1"/>
    <col min="37" max="37" width="7.69921875" style="3" customWidth="1"/>
    <col min="38" max="38" width="7.59765625" style="3" customWidth="1"/>
    <col min="39" max="39" width="10.8984375" style="3" customWidth="1"/>
    <col min="40" max="40" width="9.09765625" style="3" customWidth="1"/>
    <col min="41" max="42" width="7.69921875" style="3" customWidth="1"/>
    <col min="43" max="43" width="9.3984375" style="3" customWidth="1"/>
    <col min="44" max="44" width="18.5" style="3" customWidth="1"/>
    <col min="45" max="45" width="7.69921875" style="3" customWidth="1"/>
    <col min="46" max="46" width="9.3984375" style="3" customWidth="1"/>
    <col min="47" max="47" width="4.5" style="3" customWidth="1"/>
    <col min="48" max="48" width="7.69921875" style="3" customWidth="1"/>
    <col min="49" max="51" width="4.5" style="3" customWidth="1"/>
    <col min="52" max="52" width="6" style="3" customWidth="1"/>
    <col min="53" max="53" width="6.19921875" style="3" customWidth="1"/>
    <col min="54" max="54" width="5.5" style="3" customWidth="1"/>
    <col min="55" max="55" width="4.19921875" style="3" customWidth="1"/>
    <col min="56" max="56" width="6.09765625" style="3" customWidth="1"/>
    <col min="57" max="57" width="5.5" style="3" customWidth="1"/>
    <col min="58" max="58" width="4" style="3" customWidth="1"/>
    <col min="59" max="59" width="6.09765625" style="3" customWidth="1"/>
    <col min="60" max="60" width="5.5" style="3" customWidth="1"/>
    <col min="61" max="61" width="4" style="3" customWidth="1"/>
    <col min="62" max="62" width="6.09765625" style="3" customWidth="1"/>
    <col min="63" max="63" width="5.5" style="3" customWidth="1"/>
    <col min="64" max="64" width="4" style="3" customWidth="1"/>
    <col min="65" max="65" width="6.09765625" style="3" customWidth="1"/>
    <col min="66" max="66" width="5.5" style="3" customWidth="1"/>
    <col min="67" max="67" width="4" style="3" customWidth="1"/>
    <col min="68" max="68" width="6.09765625" style="3" customWidth="1"/>
    <col min="69" max="69" width="5.5" style="3" customWidth="1"/>
    <col min="70" max="70" width="4" style="3" customWidth="1"/>
    <col min="71" max="71" width="6.09765625" style="3" customWidth="1"/>
    <col min="72" max="72" width="5.5" style="3" customWidth="1"/>
    <col min="73" max="73" width="4" style="3" customWidth="1"/>
    <col min="74" max="74" width="6.09765625" style="3" customWidth="1"/>
    <col min="75" max="75" width="5.5" style="3" customWidth="1"/>
    <col min="76" max="76" width="4" style="3" customWidth="1"/>
    <col min="77" max="77" width="6.09765625" style="3" customWidth="1"/>
    <col min="78" max="78" width="5.5" style="3" customWidth="1"/>
    <col min="79" max="79" width="4" style="3" customWidth="1"/>
    <col min="80" max="80" width="7.19921875" style="3" customWidth="1"/>
    <col min="81" max="81" width="6.59765625" style="3" customWidth="1"/>
    <col min="82" max="82" width="5.09765625" style="3" customWidth="1"/>
    <col min="83" max="83" width="7.19921875" style="3" customWidth="1"/>
    <col min="84" max="84" width="6.59765625" style="3" customWidth="1"/>
    <col min="85" max="85" width="5.09765625" style="3" customWidth="1"/>
    <col min="86" max="86" width="7.19921875" style="3" customWidth="1"/>
    <col min="87" max="87" width="6.59765625" style="3" customWidth="1"/>
    <col min="88" max="88" width="5.09765625" style="3" customWidth="1"/>
    <col min="89" max="89" width="9.3984375" style="3" customWidth="1"/>
    <col min="90" max="90" width="7.59765625" style="3" customWidth="1"/>
    <col min="91" max="91" width="14" style="3" customWidth="1"/>
    <col min="92" max="92" width="16.3984375" style="3" customWidth="1"/>
    <col min="93" max="93" width="10.8984375" style="3" customWidth="1"/>
    <col min="94" max="94" width="12.5" style="3" customWidth="1"/>
    <col min="95" max="95" width="9.3984375" style="3" customWidth="1"/>
    <col min="96" max="96" width="16.3984375" style="3" customWidth="1"/>
    <col min="97" max="97" width="10.8984375" style="3" customWidth="1"/>
    <col min="98" max="98" width="12.5" style="3" customWidth="1"/>
    <col min="99" max="99" width="9.3984375" style="3" customWidth="1"/>
    <col min="100" max="101" width="4.5" style="3" customWidth="1"/>
    <col min="102" max="102" width="16" style="3" customWidth="1"/>
    <col min="103" max="103" width="41.5" style="3" customWidth="1"/>
    <col min="104" max="105" width="11" style="3" customWidth="1"/>
    <col min="106" max="106" width="14.09765625" style="3" customWidth="1"/>
    <col min="107" max="109" width="11" style="3" customWidth="1"/>
    <col min="110" max="110" width="12.5" style="3" customWidth="1"/>
    <col min="111" max="112" width="11" style="3" customWidth="1"/>
    <col min="113" max="113" width="11.09765625" style="3" customWidth="1"/>
    <col min="114" max="114" width="9.19921875" style="3" customWidth="1"/>
    <col min="115" max="115" width="9.3984375" style="3" customWidth="1"/>
    <col min="116" max="118" width="12.5" style="3" customWidth="1"/>
    <col min="119" max="119" width="14" style="3" customWidth="1"/>
    <col min="120" max="120" width="10.8984375" style="3" customWidth="1"/>
    <col min="121" max="122" width="14.09765625" style="3" customWidth="1"/>
    <col min="123" max="123" width="12.5" style="3" customWidth="1"/>
    <col min="124" max="124" width="14.19921875" style="3" customWidth="1"/>
    <col min="125" max="125" width="15.8984375" style="3" customWidth="1"/>
    <col min="126" max="126" width="14.19921875" style="3" customWidth="1"/>
    <col min="127" max="127" width="16.09765625" style="3" customWidth="1"/>
    <col min="128" max="128" width="15.69921875" style="3" customWidth="1"/>
    <col min="129" max="129" width="7.69921875" style="3" customWidth="1"/>
    <col min="130" max="130" width="11" style="3" customWidth="1"/>
    <col min="131" max="131" width="30.8984375" style="3" customWidth="1"/>
    <col min="132" max="132" width="4.5" style="3" customWidth="1"/>
    <col min="133" max="133" width="4.19921875" style="3" customWidth="1"/>
    <col min="134" max="134" width="9.3984375" style="3" customWidth="1"/>
    <col min="135" max="135" width="15.19921875" style="3" customWidth="1"/>
    <col min="136" max="136" width="14.19921875" style="3" customWidth="1"/>
    <col min="137" max="137" width="9.09765625" style="3" customWidth="1"/>
    <col min="138" max="140" width="7.69921875" style="3" customWidth="1"/>
    <col min="141" max="141" width="4.5" style="3" customWidth="1"/>
    <col min="142" max="142" width="5.19921875" style="3" customWidth="1"/>
    <col min="143" max="143" width="9.3984375" style="3" customWidth="1"/>
    <col min="144" max="145" width="7.69921875" style="3" customWidth="1"/>
    <col min="146" max="146" width="9.19921875" style="3" customWidth="1"/>
    <col min="147" max="147" width="9" style="3" customWidth="1"/>
    <col min="148" max="148" width="6.09765625" style="3" customWidth="1"/>
    <col min="149" max="149" width="4.5" style="3" customWidth="1"/>
    <col min="150" max="150" width="7.69921875" style="3" customWidth="1"/>
    <col min="151" max="153" width="8.8984375" style="3" customWidth="1"/>
    <col min="154" max="154" width="8.69921875" style="3" customWidth="1"/>
    <col min="155" max="155" width="8.8984375" style="3" customWidth="1"/>
    <col min="156" max="157" width="8.69921875" style="3" customWidth="1"/>
    <col min="158" max="158" width="8.8984375" style="3" customWidth="1"/>
    <col min="159" max="159" width="8.69921875" style="3" customWidth="1"/>
    <col min="160" max="160" width="12.3984375" style="3" customWidth="1"/>
    <col min="161" max="161" width="12.19921875" style="3" customWidth="1"/>
    <col min="162" max="162" width="9.09765625" style="3" customWidth="1"/>
    <col min="163" max="164" width="7.69921875" style="3" customWidth="1"/>
    <col min="165" max="165" width="9.3984375" style="3" customWidth="1"/>
    <col min="166" max="166" width="10.19921875" style="3" customWidth="1"/>
    <col min="167" max="167" width="9.3984375" style="3" customWidth="1"/>
    <col min="168" max="168" width="10.19921875" style="3" customWidth="1"/>
    <col min="169" max="169" width="9.3984375" style="3" customWidth="1"/>
    <col min="170" max="170" width="10.19921875" style="3" customWidth="1"/>
    <col min="171" max="171" width="7.19921875" style="3" customWidth="1"/>
    <col min="172" max="172" width="12" style="3" customWidth="1"/>
    <col min="173" max="173" width="8.8984375" style="3" customWidth="1"/>
    <col min="174" max="174" width="7.19921875" style="3" customWidth="1"/>
    <col min="175" max="175" width="12" style="3" customWidth="1"/>
    <col min="176" max="176" width="8.8984375" style="3" customWidth="1"/>
    <col min="177" max="177" width="7.19921875" style="3" customWidth="1"/>
    <col min="178" max="178" width="12" style="3" customWidth="1"/>
    <col min="179" max="179" width="8.8984375" style="3" customWidth="1"/>
    <col min="180" max="181" width="10.8984375" style="3" customWidth="1"/>
    <col min="182" max="183" width="9.3984375" style="3" customWidth="1"/>
    <col min="184" max="184" width="7.69921875" style="3" customWidth="1"/>
    <col min="185" max="185" width="90.3984375" style="3" customWidth="1"/>
    <col min="186" max="16384" width="9" style="3" customWidth="1"/>
  </cols>
  <sheetData>
    <row r="1" spans="1:82" ht="21.75" customHeight="1">
      <c r="A1" t="s">
        <v>829</v>
      </c>
      <c r="B1" t="s">
        <v>462</v>
      </c>
      <c r="C1" t="s">
        <v>463</v>
      </c>
      <c r="D1" t="s">
        <v>464</v>
      </c>
      <c r="E1" t="s">
        <v>1159</v>
      </c>
      <c r="F1" t="s">
        <v>1271</v>
      </c>
      <c r="G1" t="s">
        <v>384</v>
      </c>
      <c r="H1" t="s">
        <v>385</v>
      </c>
      <c r="I1" t="s">
        <v>165</v>
      </c>
      <c r="J1" t="s">
        <v>1019</v>
      </c>
      <c r="K1" t="s">
        <v>1020</v>
      </c>
      <c r="L1" t="s">
        <v>1324</v>
      </c>
      <c r="M1" t="s">
        <v>915</v>
      </c>
      <c r="N1" t="s">
        <v>1090</v>
      </c>
      <c r="O1" t="s">
        <v>1068</v>
      </c>
      <c r="P1" t="s">
        <v>371</v>
      </c>
      <c r="Q1" t="s">
        <v>988</v>
      </c>
      <c r="R1" t="s">
        <v>497</v>
      </c>
      <c r="S1" t="s">
        <v>498</v>
      </c>
      <c r="T1" t="s">
        <v>1263</v>
      </c>
      <c r="U1" t="s">
        <v>1264</v>
      </c>
      <c r="V1" t="s">
        <v>1265</v>
      </c>
      <c r="W1" t="s">
        <v>674</v>
      </c>
      <c r="X1" t="s">
        <v>675</v>
      </c>
      <c r="Y1" t="s">
        <v>289</v>
      </c>
      <c r="Z1" t="s">
        <v>1168</v>
      </c>
      <c r="AA1" t="s">
        <v>1169</v>
      </c>
      <c r="AB1" t="s">
        <v>1326</v>
      </c>
      <c r="AC1" t="s">
        <v>794</v>
      </c>
      <c r="AD1" t="s">
        <v>628</v>
      </c>
      <c r="AE1" t="s">
        <v>1226</v>
      </c>
      <c r="AF1" t="s">
        <v>629</v>
      </c>
      <c r="AG1" t="s">
        <v>630</v>
      </c>
      <c r="AH1" t="s">
        <v>971</v>
      </c>
      <c r="AI1" t="s">
        <v>893</v>
      </c>
      <c r="AJ1" t="s">
        <v>1294</v>
      </c>
      <c r="AK1" t="s">
        <v>1295</v>
      </c>
      <c r="AL1" t="s">
        <v>1178</v>
      </c>
      <c r="AM1" t="s">
        <v>1299</v>
      </c>
      <c r="AN1" t="s">
        <v>1300</v>
      </c>
      <c r="AO1" t="s">
        <v>904</v>
      </c>
      <c r="AP1" t="s">
        <v>1296</v>
      </c>
      <c r="AQ1" t="s">
        <v>1005</v>
      </c>
      <c r="AR1" t="s">
        <v>476</v>
      </c>
      <c r="AS1" t="s">
        <v>1006</v>
      </c>
      <c r="AT1" t="s">
        <v>1007</v>
      </c>
      <c r="AU1" t="s">
        <v>1008</v>
      </c>
      <c r="AV1" t="s">
        <v>1009</v>
      </c>
      <c r="AW1" t="s">
        <v>220</v>
      </c>
      <c r="AX1" t="s">
        <v>221</v>
      </c>
      <c r="AY1" t="s">
        <v>801</v>
      </c>
      <c r="AZ1" t="s">
        <v>361</v>
      </c>
      <c r="BA1" t="s">
        <v>362</v>
      </c>
      <c r="BB1" t="s">
        <v>363</v>
      </c>
      <c r="BC1" t="s">
        <v>369</v>
      </c>
      <c r="BD1" t="s">
        <v>1074</v>
      </c>
      <c r="BE1" t="s">
        <v>508</v>
      </c>
      <c r="BF1" t="s">
        <v>509</v>
      </c>
      <c r="BG1" t="s">
        <v>989</v>
      </c>
      <c r="BH1" t="s">
        <v>666</v>
      </c>
      <c r="BI1" t="s">
        <v>690</v>
      </c>
      <c r="BJ1" t="s">
        <v>691</v>
      </c>
      <c r="BK1" t="s">
        <v>1240</v>
      </c>
      <c r="BL1" t="s">
        <v>424</v>
      </c>
      <c r="BM1" t="s">
        <v>672</v>
      </c>
      <c r="BN1" t="s">
        <v>692</v>
      </c>
      <c r="BO1" t="s">
        <v>739</v>
      </c>
      <c r="BP1" t="s">
        <v>551</v>
      </c>
      <c r="BQ1" t="s">
        <v>552</v>
      </c>
      <c r="BR1" t="s">
        <v>553</v>
      </c>
      <c r="BS1" t="s">
        <v>554</v>
      </c>
      <c r="BT1" t="s">
        <v>831</v>
      </c>
      <c r="BU1" t="s">
        <v>480</v>
      </c>
      <c r="BV1" t="s">
        <v>932</v>
      </c>
      <c r="BW1" t="s">
        <v>386</v>
      </c>
      <c r="BX1" t="s">
        <v>933</v>
      </c>
      <c r="BY1" t="s">
        <v>1021</v>
      </c>
      <c r="BZ1" t="s">
        <v>845</v>
      </c>
      <c r="CA1" t="s">
        <v>827</v>
      </c>
      <c r="CB1" t="s">
        <v>1165</v>
      </c>
      <c r="CC1" t="s">
        <v>1037</v>
      </c>
      <c r="CD1" t="s">
        <v>1038</v>
      </c>
    </row>
    <row r="2" spans="2:82" ht="21.75" customHeight="1">
      <c r="B2" t="s">
        <v>1180</v>
      </c>
      <c r="C2" t="s">
        <v>555</v>
      </c>
      <c r="D2">
        <v>14</v>
      </c>
      <c r="E2">
        <v>201</v>
      </c>
      <c r="G2" t="s">
        <v>556</v>
      </c>
      <c r="L2">
        <v>198</v>
      </c>
      <c r="M2" s="1">
        <v>35796</v>
      </c>
      <c r="N2">
        <v>128000</v>
      </c>
      <c r="O2">
        <v>94</v>
      </c>
      <c r="S2">
        <v>3</v>
      </c>
      <c r="T2">
        <v>5</v>
      </c>
      <c r="U2">
        <v>1</v>
      </c>
      <c r="Y2" t="s">
        <v>790</v>
      </c>
      <c r="Z2">
        <v>3500</v>
      </c>
      <c r="AA2" t="s">
        <v>1291</v>
      </c>
      <c r="AB2">
        <v>500</v>
      </c>
      <c r="AC2" t="s">
        <v>891</v>
      </c>
      <c r="AD2">
        <v>2500</v>
      </c>
      <c r="AE2" t="s">
        <v>892</v>
      </c>
      <c r="AF2">
        <v>2600</v>
      </c>
      <c r="AM2">
        <v>1</v>
      </c>
      <c r="AN2">
        <v>1</v>
      </c>
      <c r="AO2">
        <v>1</v>
      </c>
      <c r="AX2">
        <v>1</v>
      </c>
      <c r="AY2">
        <v>4</v>
      </c>
      <c r="BB2">
        <v>60</v>
      </c>
      <c r="BC2">
        <v>200</v>
      </c>
      <c r="CD2">
        <v>100</v>
      </c>
    </row>
    <row r="3" spans="2:82" ht="21.75" customHeight="1">
      <c r="B3" t="s">
        <v>1180</v>
      </c>
      <c r="C3" t="s">
        <v>870</v>
      </c>
      <c r="D3">
        <v>14</v>
      </c>
      <c r="E3">
        <v>201</v>
      </c>
      <c r="G3" t="s">
        <v>871</v>
      </c>
      <c r="I3" t="s">
        <v>872</v>
      </c>
      <c r="L3">
        <v>259</v>
      </c>
      <c r="M3" s="1">
        <v>35796</v>
      </c>
      <c r="N3">
        <v>138000</v>
      </c>
      <c r="O3">
        <v>92</v>
      </c>
      <c r="S3">
        <v>3</v>
      </c>
      <c r="T3">
        <v>6</v>
      </c>
      <c r="U3">
        <v>1</v>
      </c>
      <c r="Y3" t="s">
        <v>790</v>
      </c>
      <c r="Z3">
        <v>3300</v>
      </c>
      <c r="AA3" t="s">
        <v>1123</v>
      </c>
      <c r="AB3">
        <v>1000</v>
      </c>
      <c r="AC3" t="s">
        <v>891</v>
      </c>
      <c r="AD3">
        <v>3500</v>
      </c>
      <c r="AE3" t="s">
        <v>1089</v>
      </c>
      <c r="AF3">
        <v>2800</v>
      </c>
      <c r="AM3">
        <v>1</v>
      </c>
      <c r="AN3">
        <v>1</v>
      </c>
      <c r="AO3">
        <v>1</v>
      </c>
      <c r="AX3">
        <v>1</v>
      </c>
      <c r="AY3">
        <v>4</v>
      </c>
      <c r="BB3">
        <v>60</v>
      </c>
      <c r="BC3">
        <v>200</v>
      </c>
      <c r="CD3">
        <v>100</v>
      </c>
    </row>
    <row r="4" spans="2:82" ht="21.75" customHeight="1">
      <c r="B4" t="s">
        <v>1180</v>
      </c>
      <c r="C4" t="s">
        <v>433</v>
      </c>
      <c r="D4">
        <v>14</v>
      </c>
      <c r="E4">
        <v>201</v>
      </c>
      <c r="G4" t="s">
        <v>309</v>
      </c>
      <c r="I4" t="s">
        <v>310</v>
      </c>
      <c r="L4">
        <v>416</v>
      </c>
      <c r="M4" s="1">
        <v>35796</v>
      </c>
      <c r="N4">
        <v>133000</v>
      </c>
      <c r="O4">
        <v>93</v>
      </c>
      <c r="S4">
        <v>3</v>
      </c>
      <c r="T4">
        <v>4.5</v>
      </c>
      <c r="U4">
        <v>1</v>
      </c>
      <c r="Y4" t="s">
        <v>790</v>
      </c>
      <c r="Z4">
        <v>5000</v>
      </c>
      <c r="AA4" t="s">
        <v>338</v>
      </c>
      <c r="AB4">
        <v>900</v>
      </c>
      <c r="AC4" t="s">
        <v>891</v>
      </c>
      <c r="AD4">
        <v>4600</v>
      </c>
      <c r="AE4" t="s">
        <v>892</v>
      </c>
      <c r="AF4">
        <v>4700</v>
      </c>
      <c r="AM4">
        <v>1</v>
      </c>
      <c r="AN4">
        <v>1</v>
      </c>
      <c r="AO4">
        <v>1</v>
      </c>
      <c r="AX4">
        <v>1</v>
      </c>
      <c r="AY4">
        <v>5</v>
      </c>
      <c r="BB4">
        <v>60</v>
      </c>
      <c r="BC4">
        <v>200</v>
      </c>
      <c r="BD4">
        <v>2</v>
      </c>
      <c r="CD4">
        <v>100</v>
      </c>
    </row>
    <row r="5" spans="2:82" ht="21.75" customHeight="1">
      <c r="B5" t="s">
        <v>1180</v>
      </c>
      <c r="C5" t="s">
        <v>339</v>
      </c>
      <c r="D5">
        <v>14</v>
      </c>
      <c r="E5">
        <v>201</v>
      </c>
      <c r="G5" t="s">
        <v>432</v>
      </c>
      <c r="I5" t="s">
        <v>652</v>
      </c>
      <c r="L5">
        <v>212</v>
      </c>
      <c r="M5" s="1">
        <v>35796</v>
      </c>
      <c r="N5">
        <v>124000</v>
      </c>
      <c r="O5">
        <v>94</v>
      </c>
      <c r="S5">
        <v>3</v>
      </c>
      <c r="T5">
        <v>4.5</v>
      </c>
      <c r="U5">
        <v>1</v>
      </c>
      <c r="Y5" t="s">
        <v>790</v>
      </c>
      <c r="Z5">
        <v>5300</v>
      </c>
      <c r="AA5" t="s">
        <v>493</v>
      </c>
      <c r="AB5">
        <v>1500</v>
      </c>
      <c r="AC5" t="s">
        <v>891</v>
      </c>
      <c r="AD5">
        <v>5700</v>
      </c>
      <c r="AE5" t="s">
        <v>1089</v>
      </c>
      <c r="AF5">
        <v>4800</v>
      </c>
      <c r="AM5">
        <v>1</v>
      </c>
      <c r="AN5">
        <v>1</v>
      </c>
      <c r="AO5">
        <v>2</v>
      </c>
      <c r="AX5">
        <v>1</v>
      </c>
      <c r="AY5">
        <v>4</v>
      </c>
      <c r="BB5">
        <v>60</v>
      </c>
      <c r="BC5">
        <v>200</v>
      </c>
      <c r="CD5">
        <v>100</v>
      </c>
    </row>
    <row r="6" spans="2:82" ht="21.75" customHeight="1">
      <c r="B6" t="s">
        <v>1180</v>
      </c>
      <c r="C6" t="s">
        <v>1184</v>
      </c>
      <c r="D6">
        <v>14</v>
      </c>
      <c r="G6" t="s">
        <v>1042</v>
      </c>
      <c r="L6">
        <v>23120</v>
      </c>
      <c r="M6" s="1">
        <v>35796</v>
      </c>
      <c r="N6">
        <v>134000</v>
      </c>
      <c r="O6">
        <v>90</v>
      </c>
      <c r="R6">
        <v>3</v>
      </c>
      <c r="S6">
        <v>3</v>
      </c>
      <c r="T6">
        <v>7.5</v>
      </c>
      <c r="U6">
        <v>1</v>
      </c>
      <c r="Y6" t="s">
        <v>790</v>
      </c>
      <c r="Z6">
        <v>2400</v>
      </c>
      <c r="AA6" t="s">
        <v>1315</v>
      </c>
      <c r="AB6">
        <v>80</v>
      </c>
      <c r="AC6" t="s">
        <v>891</v>
      </c>
      <c r="AD6">
        <v>3500</v>
      </c>
      <c r="AE6" t="s">
        <v>1316</v>
      </c>
      <c r="AF6">
        <v>1400</v>
      </c>
      <c r="AM6">
        <v>1</v>
      </c>
      <c r="AN6">
        <v>1</v>
      </c>
      <c r="AO6">
        <v>1</v>
      </c>
      <c r="AR6">
        <v>1</v>
      </c>
      <c r="AS6">
        <v>3</v>
      </c>
      <c r="AT6">
        <v>3</v>
      </c>
      <c r="AU6">
        <v>4</v>
      </c>
      <c r="AX6">
        <v>1</v>
      </c>
      <c r="AY6">
        <v>11</v>
      </c>
      <c r="AZ6">
        <v>60</v>
      </c>
      <c r="BA6">
        <v>200</v>
      </c>
      <c r="BB6">
        <v>60</v>
      </c>
      <c r="BC6">
        <v>200</v>
      </c>
      <c r="BD6">
        <v>2</v>
      </c>
      <c r="CC6">
        <v>10</v>
      </c>
      <c r="CD6">
        <v>110</v>
      </c>
    </row>
    <row r="7" spans="2:82" ht="21.75" customHeight="1">
      <c r="B7" t="s">
        <v>1180</v>
      </c>
      <c r="C7" t="s">
        <v>798</v>
      </c>
      <c r="D7">
        <v>14</v>
      </c>
      <c r="E7">
        <v>201</v>
      </c>
      <c r="G7" t="s">
        <v>735</v>
      </c>
      <c r="I7" t="s">
        <v>565</v>
      </c>
      <c r="L7">
        <v>186</v>
      </c>
      <c r="M7" s="1">
        <v>35796</v>
      </c>
      <c r="N7">
        <v>114000</v>
      </c>
      <c r="O7">
        <v>97</v>
      </c>
      <c r="S7">
        <v>6</v>
      </c>
      <c r="T7">
        <v>6</v>
      </c>
      <c r="U7">
        <v>1</v>
      </c>
      <c r="Y7" t="s">
        <v>790</v>
      </c>
      <c r="Z7">
        <v>6300</v>
      </c>
      <c r="AA7" t="s">
        <v>446</v>
      </c>
      <c r="AB7">
        <v>500</v>
      </c>
      <c r="AC7" t="s">
        <v>891</v>
      </c>
      <c r="AD7">
        <v>6000</v>
      </c>
      <c r="AE7" t="s">
        <v>860</v>
      </c>
      <c r="AF7">
        <v>4700</v>
      </c>
      <c r="AM7">
        <v>1</v>
      </c>
      <c r="AN7">
        <v>1</v>
      </c>
      <c r="AO7">
        <v>1</v>
      </c>
      <c r="AX7">
        <v>1</v>
      </c>
      <c r="AY7">
        <v>1</v>
      </c>
      <c r="BB7">
        <v>60</v>
      </c>
      <c r="BC7">
        <v>100</v>
      </c>
      <c r="CD7">
        <v>100</v>
      </c>
    </row>
    <row r="8" spans="2:82" ht="21.75" customHeight="1">
      <c r="B8" t="s">
        <v>1180</v>
      </c>
      <c r="C8" t="s">
        <v>920</v>
      </c>
      <c r="D8">
        <v>14</v>
      </c>
      <c r="E8">
        <v>201</v>
      </c>
      <c r="G8" t="s">
        <v>839</v>
      </c>
      <c r="I8" t="s">
        <v>1270</v>
      </c>
      <c r="L8">
        <v>220</v>
      </c>
      <c r="M8" s="1">
        <v>35796</v>
      </c>
      <c r="N8">
        <v>119000</v>
      </c>
      <c r="O8">
        <v>96</v>
      </c>
      <c r="S8">
        <v>3</v>
      </c>
      <c r="T8">
        <v>4</v>
      </c>
      <c r="U8">
        <v>1</v>
      </c>
      <c r="Y8" t="s">
        <v>790</v>
      </c>
      <c r="Z8">
        <v>6300</v>
      </c>
      <c r="AA8" t="s">
        <v>769</v>
      </c>
      <c r="AB8">
        <v>400</v>
      </c>
      <c r="AC8" t="s">
        <v>891</v>
      </c>
      <c r="AD8">
        <v>5000</v>
      </c>
      <c r="AE8" t="s">
        <v>892</v>
      </c>
      <c r="AF8">
        <v>5100</v>
      </c>
      <c r="AM8">
        <v>1</v>
      </c>
      <c r="AN8">
        <v>1</v>
      </c>
      <c r="AO8">
        <v>1</v>
      </c>
      <c r="AX8">
        <v>1</v>
      </c>
      <c r="AY8">
        <v>4</v>
      </c>
      <c r="BB8">
        <v>60</v>
      </c>
      <c r="BC8">
        <v>200</v>
      </c>
      <c r="CD8">
        <v>100</v>
      </c>
    </row>
    <row r="9" spans="2:82" ht="21.75" customHeight="1">
      <c r="B9" t="s">
        <v>1180</v>
      </c>
      <c r="C9" t="s">
        <v>770</v>
      </c>
      <c r="D9">
        <v>14</v>
      </c>
      <c r="E9">
        <v>201</v>
      </c>
      <c r="G9" t="s">
        <v>772</v>
      </c>
      <c r="L9">
        <v>173</v>
      </c>
      <c r="M9" s="1">
        <v>35796</v>
      </c>
      <c r="N9">
        <v>169000</v>
      </c>
      <c r="O9">
        <v>92</v>
      </c>
      <c r="S9">
        <v>3</v>
      </c>
      <c r="T9">
        <v>6</v>
      </c>
      <c r="U9">
        <v>1</v>
      </c>
      <c r="Y9" t="s">
        <v>790</v>
      </c>
      <c r="Z9">
        <v>1800</v>
      </c>
      <c r="AA9" t="s">
        <v>453</v>
      </c>
      <c r="AB9">
        <v>500</v>
      </c>
      <c r="AC9" t="s">
        <v>891</v>
      </c>
      <c r="AD9">
        <v>2200</v>
      </c>
      <c r="AE9" t="s">
        <v>1089</v>
      </c>
      <c r="AF9">
        <v>1300</v>
      </c>
      <c r="AM9">
        <v>1</v>
      </c>
      <c r="AN9">
        <v>1</v>
      </c>
      <c r="AO9">
        <v>1</v>
      </c>
      <c r="AX9">
        <v>1</v>
      </c>
      <c r="AY9">
        <v>5</v>
      </c>
      <c r="BB9">
        <v>60</v>
      </c>
      <c r="BC9">
        <v>200</v>
      </c>
      <c r="CD9">
        <v>100</v>
      </c>
    </row>
    <row r="10" spans="2:82" ht="21.75" customHeight="1">
      <c r="B10" t="s">
        <v>1180</v>
      </c>
      <c r="C10" t="s">
        <v>427</v>
      </c>
      <c r="D10">
        <v>14</v>
      </c>
      <c r="E10">
        <v>201</v>
      </c>
      <c r="G10" t="s">
        <v>783</v>
      </c>
      <c r="L10">
        <v>300</v>
      </c>
      <c r="M10" s="1">
        <v>35796</v>
      </c>
      <c r="N10">
        <v>253000</v>
      </c>
      <c r="O10">
        <v>88</v>
      </c>
      <c r="S10">
        <v>3</v>
      </c>
      <c r="T10">
        <v>14</v>
      </c>
      <c r="U10">
        <v>1</v>
      </c>
      <c r="Y10" t="s">
        <v>790</v>
      </c>
      <c r="Z10">
        <v>2300</v>
      </c>
      <c r="AA10" t="s">
        <v>1181</v>
      </c>
      <c r="AB10">
        <v>650</v>
      </c>
      <c r="AC10" t="s">
        <v>891</v>
      </c>
      <c r="AD10">
        <v>1900</v>
      </c>
      <c r="AE10" t="s">
        <v>892</v>
      </c>
      <c r="AF10">
        <v>1900</v>
      </c>
      <c r="AM10">
        <v>1</v>
      </c>
      <c r="AN10">
        <v>1</v>
      </c>
      <c r="AO10">
        <v>1</v>
      </c>
      <c r="AX10">
        <v>1</v>
      </c>
      <c r="AY10">
        <v>8</v>
      </c>
      <c r="BB10">
        <v>80</v>
      </c>
      <c r="BC10">
        <v>300</v>
      </c>
      <c r="CD10">
        <v>100</v>
      </c>
    </row>
    <row r="11" spans="2:82" ht="21.75" customHeight="1">
      <c r="B11" t="s">
        <v>1180</v>
      </c>
      <c r="C11" t="s">
        <v>1182</v>
      </c>
      <c r="D11">
        <v>14</v>
      </c>
      <c r="E11">
        <v>201</v>
      </c>
      <c r="G11" t="s">
        <v>976</v>
      </c>
      <c r="I11" t="s">
        <v>669</v>
      </c>
      <c r="L11">
        <v>517</v>
      </c>
      <c r="M11" s="1">
        <v>35796</v>
      </c>
      <c r="N11">
        <v>238000</v>
      </c>
      <c r="O11">
        <v>88</v>
      </c>
      <c r="S11">
        <v>1</v>
      </c>
      <c r="T11">
        <v>40</v>
      </c>
      <c r="U11">
        <v>1</v>
      </c>
      <c r="Y11" t="s">
        <v>790</v>
      </c>
      <c r="Z11">
        <v>3300</v>
      </c>
      <c r="AA11" t="s">
        <v>1291</v>
      </c>
      <c r="AB11">
        <v>450</v>
      </c>
      <c r="AC11" t="s">
        <v>891</v>
      </c>
      <c r="AD11">
        <v>2600</v>
      </c>
      <c r="AE11" t="s">
        <v>892</v>
      </c>
      <c r="AF11">
        <v>2700</v>
      </c>
      <c r="AM11">
        <v>1</v>
      </c>
      <c r="AN11">
        <v>1</v>
      </c>
      <c r="AO11">
        <v>1</v>
      </c>
      <c r="AX11">
        <v>1</v>
      </c>
      <c r="AY11">
        <v>9</v>
      </c>
      <c r="BB11">
        <v>80</v>
      </c>
      <c r="BC11">
        <v>400</v>
      </c>
      <c r="CD11">
        <v>100</v>
      </c>
    </row>
    <row r="12" spans="2:82" ht="21.75" customHeight="1">
      <c r="B12" t="s">
        <v>1180</v>
      </c>
      <c r="C12" t="s">
        <v>485</v>
      </c>
      <c r="D12">
        <v>14</v>
      </c>
      <c r="E12">
        <v>201</v>
      </c>
      <c r="G12" t="s">
        <v>645</v>
      </c>
      <c r="I12" t="s">
        <v>1172</v>
      </c>
      <c r="L12">
        <v>256</v>
      </c>
      <c r="M12" s="1">
        <v>35796</v>
      </c>
      <c r="N12">
        <v>167000</v>
      </c>
      <c r="O12">
        <v>89</v>
      </c>
      <c r="S12">
        <v>2</v>
      </c>
      <c r="T12">
        <v>16</v>
      </c>
      <c r="U12">
        <v>1</v>
      </c>
      <c r="Y12" t="s">
        <v>790</v>
      </c>
      <c r="Z12">
        <v>4600</v>
      </c>
      <c r="AA12" t="s">
        <v>493</v>
      </c>
      <c r="AB12">
        <v>650</v>
      </c>
      <c r="AC12" t="s">
        <v>891</v>
      </c>
      <c r="AD12">
        <v>4800</v>
      </c>
      <c r="AE12" t="s">
        <v>1089</v>
      </c>
      <c r="AF12">
        <v>4100</v>
      </c>
      <c r="AM12">
        <v>1</v>
      </c>
      <c r="AN12">
        <v>1</v>
      </c>
      <c r="AO12">
        <v>2</v>
      </c>
      <c r="AX12">
        <v>1</v>
      </c>
      <c r="AY12">
        <v>7</v>
      </c>
      <c r="BB12">
        <v>60</v>
      </c>
      <c r="BC12">
        <v>200</v>
      </c>
      <c r="CD12">
        <v>100</v>
      </c>
    </row>
    <row r="13" spans="2:82" ht="21.75" customHeight="1">
      <c r="B13" t="s">
        <v>1180</v>
      </c>
      <c r="C13" t="s">
        <v>886</v>
      </c>
      <c r="D13">
        <v>14</v>
      </c>
      <c r="E13">
        <v>201</v>
      </c>
      <c r="G13" t="s">
        <v>1126</v>
      </c>
      <c r="L13">
        <v>979</v>
      </c>
      <c r="M13" s="1">
        <v>35796</v>
      </c>
      <c r="N13">
        <v>132000</v>
      </c>
      <c r="O13">
        <v>92</v>
      </c>
      <c r="S13">
        <v>3</v>
      </c>
      <c r="T13">
        <v>6.5</v>
      </c>
      <c r="U13">
        <v>1</v>
      </c>
      <c r="Y13" t="s">
        <v>790</v>
      </c>
      <c r="Z13">
        <v>3300</v>
      </c>
      <c r="AA13" t="s">
        <v>453</v>
      </c>
      <c r="AB13">
        <v>1000</v>
      </c>
      <c r="AC13" t="s">
        <v>891</v>
      </c>
      <c r="AD13">
        <v>3500</v>
      </c>
      <c r="AE13" t="s">
        <v>1089</v>
      </c>
      <c r="AF13">
        <v>2800</v>
      </c>
      <c r="AM13">
        <v>1</v>
      </c>
      <c r="AN13">
        <v>2</v>
      </c>
      <c r="AO13">
        <v>2</v>
      </c>
      <c r="AX13">
        <v>1</v>
      </c>
      <c r="AY13">
        <v>10</v>
      </c>
      <c r="BB13">
        <v>60</v>
      </c>
      <c r="BC13">
        <v>200</v>
      </c>
      <c r="CD13">
        <v>100</v>
      </c>
    </row>
    <row r="14" spans="2:82" ht="21.75" customHeight="1">
      <c r="B14" t="s">
        <v>1180</v>
      </c>
      <c r="C14" t="s">
        <v>302</v>
      </c>
      <c r="D14">
        <v>14</v>
      </c>
      <c r="E14">
        <v>201</v>
      </c>
      <c r="G14" t="s">
        <v>1186</v>
      </c>
      <c r="L14">
        <v>273</v>
      </c>
      <c r="M14" s="1">
        <v>35796</v>
      </c>
      <c r="N14">
        <v>140000</v>
      </c>
      <c r="O14">
        <v>94</v>
      </c>
      <c r="S14">
        <v>3</v>
      </c>
      <c r="T14">
        <v>7</v>
      </c>
      <c r="U14">
        <v>1</v>
      </c>
      <c r="Y14" t="s">
        <v>790</v>
      </c>
      <c r="Z14">
        <v>2800</v>
      </c>
      <c r="AA14" t="s">
        <v>1291</v>
      </c>
      <c r="AB14">
        <v>500</v>
      </c>
      <c r="AC14" t="s">
        <v>891</v>
      </c>
      <c r="AD14">
        <v>1700</v>
      </c>
      <c r="AE14" t="s">
        <v>892</v>
      </c>
      <c r="AF14">
        <v>1800</v>
      </c>
      <c r="AM14">
        <v>1</v>
      </c>
      <c r="AN14">
        <v>1</v>
      </c>
      <c r="AO14">
        <v>1</v>
      </c>
      <c r="AX14">
        <v>1</v>
      </c>
      <c r="AY14">
        <v>10</v>
      </c>
      <c r="BB14">
        <v>60</v>
      </c>
      <c r="BC14">
        <v>200</v>
      </c>
      <c r="CD14">
        <v>100</v>
      </c>
    </row>
    <row r="15" spans="2:82" ht="21.75" customHeight="1">
      <c r="B15" t="s">
        <v>1180</v>
      </c>
      <c r="C15" t="s">
        <v>1187</v>
      </c>
      <c r="D15">
        <v>14</v>
      </c>
      <c r="E15">
        <v>201</v>
      </c>
      <c r="G15" t="s">
        <v>396</v>
      </c>
      <c r="I15" t="s">
        <v>857</v>
      </c>
      <c r="L15">
        <v>251</v>
      </c>
      <c r="M15" s="1">
        <v>35796</v>
      </c>
      <c r="N15">
        <v>97000</v>
      </c>
      <c r="O15">
        <v>96</v>
      </c>
      <c r="S15">
        <v>3</v>
      </c>
      <c r="T15">
        <v>5</v>
      </c>
      <c r="U15">
        <v>1</v>
      </c>
      <c r="Y15" t="s">
        <v>790</v>
      </c>
      <c r="Z15">
        <v>5200</v>
      </c>
      <c r="AB15">
        <v>300</v>
      </c>
      <c r="AC15" t="s">
        <v>891</v>
      </c>
      <c r="AD15">
        <v>6000</v>
      </c>
      <c r="AE15" t="s">
        <v>860</v>
      </c>
      <c r="AF15">
        <v>5500</v>
      </c>
      <c r="AM15">
        <v>1</v>
      </c>
      <c r="AN15">
        <v>2</v>
      </c>
      <c r="AO15">
        <v>2</v>
      </c>
      <c r="AX15">
        <v>3</v>
      </c>
      <c r="BB15">
        <v>70</v>
      </c>
      <c r="BC15">
        <v>400</v>
      </c>
      <c r="CD15">
        <v>100</v>
      </c>
    </row>
    <row r="16" spans="2:82" ht="21.75" customHeight="1">
      <c r="B16" t="s">
        <v>858</v>
      </c>
      <c r="C16" t="s">
        <v>1119</v>
      </c>
      <c r="D16">
        <v>14</v>
      </c>
      <c r="E16">
        <v>201</v>
      </c>
      <c r="G16" t="s">
        <v>557</v>
      </c>
      <c r="L16">
        <v>477</v>
      </c>
      <c r="M16" s="1">
        <v>35977</v>
      </c>
      <c r="N16">
        <v>63000</v>
      </c>
      <c r="O16">
        <v>98</v>
      </c>
      <c r="S16">
        <v>3</v>
      </c>
      <c r="T16">
        <v>4</v>
      </c>
      <c r="U16">
        <v>1</v>
      </c>
      <c r="Y16" t="s">
        <v>558</v>
      </c>
      <c r="Z16">
        <v>4400</v>
      </c>
      <c r="AB16">
        <v>300</v>
      </c>
      <c r="AC16" t="s">
        <v>891</v>
      </c>
      <c r="AD16">
        <v>6000</v>
      </c>
      <c r="AE16" t="s">
        <v>860</v>
      </c>
      <c r="AF16">
        <v>6000</v>
      </c>
      <c r="AM16">
        <v>1</v>
      </c>
      <c r="AN16">
        <v>2</v>
      </c>
      <c r="AO16">
        <v>2</v>
      </c>
      <c r="AX16">
        <v>3</v>
      </c>
      <c r="CD16">
        <v>100</v>
      </c>
    </row>
    <row r="17" spans="2:82" ht="21.75" customHeight="1">
      <c r="B17" t="s">
        <v>858</v>
      </c>
      <c r="C17" t="s">
        <v>1100</v>
      </c>
      <c r="D17">
        <v>14</v>
      </c>
      <c r="E17">
        <v>201</v>
      </c>
      <c r="G17" t="s">
        <v>942</v>
      </c>
      <c r="I17" t="s">
        <v>964</v>
      </c>
      <c r="L17">
        <v>118</v>
      </c>
      <c r="M17" s="1">
        <v>35977</v>
      </c>
      <c r="N17">
        <v>169000</v>
      </c>
      <c r="O17">
        <v>95</v>
      </c>
      <c r="S17">
        <v>2</v>
      </c>
      <c r="T17">
        <v>10</v>
      </c>
      <c r="U17">
        <v>1</v>
      </c>
      <c r="Y17" t="s">
        <v>790</v>
      </c>
      <c r="Z17">
        <v>4000</v>
      </c>
      <c r="AA17" t="s">
        <v>1123</v>
      </c>
      <c r="AB17">
        <v>100</v>
      </c>
      <c r="AC17" t="s">
        <v>891</v>
      </c>
      <c r="AD17">
        <v>3400</v>
      </c>
      <c r="AE17" t="s">
        <v>892</v>
      </c>
      <c r="AF17">
        <v>3300</v>
      </c>
      <c r="AM17">
        <v>1</v>
      </c>
      <c r="AN17">
        <v>1</v>
      </c>
      <c r="AO17">
        <v>2</v>
      </c>
      <c r="AX17">
        <v>1</v>
      </c>
      <c r="AY17">
        <v>9</v>
      </c>
      <c r="BB17">
        <v>80</v>
      </c>
      <c r="BC17">
        <v>400</v>
      </c>
      <c r="CD17">
        <v>100</v>
      </c>
    </row>
    <row r="18" spans="2:82" ht="21.75" customHeight="1">
      <c r="B18" t="s">
        <v>858</v>
      </c>
      <c r="C18" t="s">
        <v>737</v>
      </c>
      <c r="D18">
        <v>14</v>
      </c>
      <c r="E18">
        <v>201</v>
      </c>
      <c r="G18" t="s">
        <v>395</v>
      </c>
      <c r="I18" t="s">
        <v>843</v>
      </c>
      <c r="L18">
        <v>186</v>
      </c>
      <c r="M18" s="1">
        <v>35977</v>
      </c>
      <c r="N18">
        <v>113000</v>
      </c>
      <c r="O18">
        <v>98</v>
      </c>
      <c r="S18">
        <v>6</v>
      </c>
      <c r="T18">
        <v>6</v>
      </c>
      <c r="U18">
        <v>1</v>
      </c>
      <c r="Y18" t="s">
        <v>790</v>
      </c>
      <c r="Z18">
        <v>6300</v>
      </c>
      <c r="AA18" t="s">
        <v>1035</v>
      </c>
      <c r="AB18">
        <v>500</v>
      </c>
      <c r="AC18" t="s">
        <v>891</v>
      </c>
      <c r="AD18">
        <v>3400</v>
      </c>
      <c r="AE18" t="s">
        <v>860</v>
      </c>
      <c r="AF18">
        <v>4800</v>
      </c>
      <c r="AM18">
        <v>1</v>
      </c>
      <c r="AN18">
        <v>1</v>
      </c>
      <c r="AO18">
        <v>1</v>
      </c>
      <c r="AX18">
        <v>1</v>
      </c>
      <c r="AY18">
        <v>1</v>
      </c>
      <c r="BB18">
        <v>60</v>
      </c>
      <c r="BC18">
        <v>100</v>
      </c>
      <c r="CD18">
        <v>100</v>
      </c>
    </row>
    <row r="19" spans="2:82" ht="21.75" customHeight="1">
      <c r="B19" t="s">
        <v>858</v>
      </c>
      <c r="C19" t="s">
        <v>163</v>
      </c>
      <c r="D19">
        <v>14</v>
      </c>
      <c r="E19">
        <v>201</v>
      </c>
      <c r="G19" t="s">
        <v>286</v>
      </c>
      <c r="L19">
        <v>133</v>
      </c>
      <c r="M19" s="1">
        <v>35977</v>
      </c>
      <c r="N19">
        <v>175000</v>
      </c>
      <c r="O19">
        <v>96</v>
      </c>
      <c r="S19">
        <v>3</v>
      </c>
      <c r="T19">
        <v>6.4</v>
      </c>
      <c r="U19">
        <v>1</v>
      </c>
      <c r="Y19" t="s">
        <v>790</v>
      </c>
      <c r="Z19">
        <v>2000</v>
      </c>
      <c r="AA19" t="s">
        <v>453</v>
      </c>
      <c r="AB19">
        <v>100</v>
      </c>
      <c r="AC19" t="s">
        <v>891</v>
      </c>
      <c r="AD19">
        <v>2200</v>
      </c>
      <c r="AE19" t="s">
        <v>1089</v>
      </c>
      <c r="AF19">
        <v>1500</v>
      </c>
      <c r="AM19">
        <v>1</v>
      </c>
      <c r="AN19">
        <v>1</v>
      </c>
      <c r="AO19">
        <v>1</v>
      </c>
      <c r="AX19">
        <v>1</v>
      </c>
      <c r="AY19">
        <v>6</v>
      </c>
      <c r="BB19">
        <v>60</v>
      </c>
      <c r="BC19">
        <v>200</v>
      </c>
      <c r="CD19">
        <v>100</v>
      </c>
    </row>
    <row r="20" spans="2:82" ht="21.75" customHeight="1">
      <c r="B20" t="s">
        <v>858</v>
      </c>
      <c r="C20" t="s">
        <v>526</v>
      </c>
      <c r="D20">
        <v>14</v>
      </c>
      <c r="E20">
        <v>201</v>
      </c>
      <c r="G20" t="s">
        <v>1153</v>
      </c>
      <c r="L20">
        <v>286</v>
      </c>
      <c r="M20" s="1">
        <v>35977</v>
      </c>
      <c r="N20">
        <v>320000</v>
      </c>
      <c r="O20">
        <v>93</v>
      </c>
      <c r="S20">
        <v>1</v>
      </c>
      <c r="T20">
        <v>22.5</v>
      </c>
      <c r="U20">
        <v>1</v>
      </c>
      <c r="Y20" t="s">
        <v>790</v>
      </c>
      <c r="Z20">
        <v>2200</v>
      </c>
      <c r="AA20" t="s">
        <v>859</v>
      </c>
      <c r="AB20">
        <v>300</v>
      </c>
      <c r="AC20" t="s">
        <v>891</v>
      </c>
      <c r="AD20">
        <v>1400</v>
      </c>
      <c r="AE20" t="s">
        <v>1083</v>
      </c>
      <c r="AF20">
        <v>1300</v>
      </c>
      <c r="AM20">
        <v>1</v>
      </c>
      <c r="AN20">
        <v>1</v>
      </c>
      <c r="AO20">
        <v>1</v>
      </c>
      <c r="AX20">
        <v>1</v>
      </c>
      <c r="AY20">
        <v>8</v>
      </c>
      <c r="BB20">
        <v>80</v>
      </c>
      <c r="BC20">
        <v>300</v>
      </c>
      <c r="CD20">
        <v>100</v>
      </c>
    </row>
    <row r="21" spans="2:82" ht="21.75" customHeight="1">
      <c r="B21" t="s">
        <v>858</v>
      </c>
      <c r="C21" t="s">
        <v>314</v>
      </c>
      <c r="D21">
        <v>14</v>
      </c>
      <c r="E21">
        <v>201</v>
      </c>
      <c r="G21" t="s">
        <v>1026</v>
      </c>
      <c r="I21" t="s">
        <v>539</v>
      </c>
      <c r="L21">
        <v>316</v>
      </c>
      <c r="M21" s="1">
        <v>35977</v>
      </c>
      <c r="N21">
        <v>116000</v>
      </c>
      <c r="O21">
        <v>97</v>
      </c>
      <c r="S21">
        <v>3</v>
      </c>
      <c r="T21">
        <v>4.5</v>
      </c>
      <c r="U21">
        <v>1</v>
      </c>
      <c r="Y21" t="s">
        <v>790</v>
      </c>
      <c r="Z21">
        <v>6800</v>
      </c>
      <c r="AA21" t="s">
        <v>540</v>
      </c>
      <c r="AB21">
        <v>500</v>
      </c>
      <c r="AC21" t="s">
        <v>891</v>
      </c>
      <c r="AD21">
        <v>6000</v>
      </c>
      <c r="AE21" t="s">
        <v>860</v>
      </c>
      <c r="AF21">
        <v>4800</v>
      </c>
      <c r="AM21">
        <v>1</v>
      </c>
      <c r="AN21">
        <v>1</v>
      </c>
      <c r="AO21">
        <v>1</v>
      </c>
      <c r="AX21">
        <v>1</v>
      </c>
      <c r="AY21">
        <v>1</v>
      </c>
      <c r="BB21">
        <v>50</v>
      </c>
      <c r="BC21">
        <v>80</v>
      </c>
      <c r="CD21">
        <v>100</v>
      </c>
    </row>
    <row r="22" spans="2:82" ht="21.75" customHeight="1">
      <c r="B22" t="s">
        <v>858</v>
      </c>
      <c r="C22" t="s">
        <v>541</v>
      </c>
      <c r="D22">
        <v>14</v>
      </c>
      <c r="E22">
        <v>201</v>
      </c>
      <c r="G22" t="s">
        <v>330</v>
      </c>
      <c r="I22" t="s">
        <v>983</v>
      </c>
      <c r="L22">
        <v>216</v>
      </c>
      <c r="M22" s="1">
        <v>35977</v>
      </c>
      <c r="N22">
        <v>132000</v>
      </c>
      <c r="O22">
        <v>97</v>
      </c>
      <c r="S22">
        <v>3</v>
      </c>
      <c r="T22">
        <v>6</v>
      </c>
      <c r="U22">
        <v>1</v>
      </c>
      <c r="Y22" t="s">
        <v>790</v>
      </c>
      <c r="Z22">
        <v>4600</v>
      </c>
      <c r="AA22" t="s">
        <v>1123</v>
      </c>
      <c r="AB22">
        <v>500</v>
      </c>
      <c r="AC22" t="s">
        <v>891</v>
      </c>
      <c r="AD22">
        <v>3500</v>
      </c>
      <c r="AE22" t="s">
        <v>892</v>
      </c>
      <c r="AF22">
        <v>3600</v>
      </c>
      <c r="AM22">
        <v>1</v>
      </c>
      <c r="AN22">
        <v>1</v>
      </c>
      <c r="AO22">
        <v>1</v>
      </c>
      <c r="AX22">
        <v>1</v>
      </c>
      <c r="AY22">
        <v>1</v>
      </c>
      <c r="BB22">
        <v>50</v>
      </c>
      <c r="BC22">
        <v>80</v>
      </c>
      <c r="CD22">
        <v>100</v>
      </c>
    </row>
    <row r="23" spans="2:82" ht="21.75" customHeight="1">
      <c r="B23" t="s">
        <v>858</v>
      </c>
      <c r="C23" t="s">
        <v>1129</v>
      </c>
      <c r="D23">
        <v>14</v>
      </c>
      <c r="E23">
        <v>201</v>
      </c>
      <c r="G23" t="s">
        <v>443</v>
      </c>
      <c r="L23">
        <v>204</v>
      </c>
      <c r="M23" s="1">
        <v>35977</v>
      </c>
      <c r="N23">
        <v>111000</v>
      </c>
      <c r="O23">
        <v>98</v>
      </c>
      <c r="S23">
        <v>3</v>
      </c>
      <c r="T23">
        <v>4</v>
      </c>
      <c r="U23">
        <v>1</v>
      </c>
      <c r="Y23" t="s">
        <v>790</v>
      </c>
      <c r="Z23">
        <v>6300</v>
      </c>
      <c r="AA23" t="s">
        <v>540</v>
      </c>
      <c r="AB23">
        <v>500</v>
      </c>
      <c r="AC23" t="s">
        <v>891</v>
      </c>
      <c r="AD23">
        <v>6000</v>
      </c>
      <c r="AE23" t="s">
        <v>860</v>
      </c>
      <c r="AF23">
        <v>4900</v>
      </c>
      <c r="AM23">
        <v>1</v>
      </c>
      <c r="AN23">
        <v>2</v>
      </c>
      <c r="AO23">
        <v>2</v>
      </c>
      <c r="AX23">
        <v>1</v>
      </c>
      <c r="AY23">
        <v>6</v>
      </c>
      <c r="BB23">
        <v>60</v>
      </c>
      <c r="BC23">
        <v>200</v>
      </c>
      <c r="CD23">
        <v>100</v>
      </c>
    </row>
    <row r="24" s="2" customFormat="1" ht="21.75" customHeight="1"/>
    <row r="25" s="2" customFormat="1" ht="21.75" customHeight="1"/>
    <row r="26" s="2" customFormat="1" ht="21.75" customHeight="1"/>
    <row r="27" s="2" customFormat="1" ht="21.75" customHeight="1"/>
    <row r="28" s="2" customFormat="1" ht="21.75" customHeight="1"/>
    <row r="29" s="2" customFormat="1" ht="21.75" customHeight="1"/>
    <row r="30" s="2" customFormat="1" ht="21.75" customHeight="1"/>
    <row r="31" s="2" customFormat="1" ht="21.75" customHeight="1"/>
    <row r="32" s="2" customFormat="1" ht="21.75" customHeight="1"/>
    <row r="33" s="2" customFormat="1" ht="21.75" customHeight="1"/>
    <row r="34" s="2" customFormat="1" ht="21.75" customHeight="1"/>
    <row r="35" s="2" customFormat="1" ht="21.75" customHeight="1"/>
    <row r="36" s="2" customFormat="1" ht="21.75" customHeight="1"/>
    <row r="37" s="2" customFormat="1" ht="21.75" customHeight="1"/>
    <row r="38" s="2" customFormat="1" ht="21.75" customHeight="1"/>
    <row r="39" s="2" customFormat="1" ht="21.75" customHeight="1"/>
    <row r="40" s="2" customFormat="1" ht="21.75" customHeight="1"/>
    <row r="41" s="2" customFormat="1" ht="21.75" customHeight="1"/>
    <row r="42" s="2" customFormat="1" ht="21.75" customHeight="1"/>
    <row r="43" s="2" customFormat="1" ht="21.75" customHeight="1"/>
    <row r="44" s="2" customFormat="1" ht="21.75" customHeight="1"/>
    <row r="45" s="2" customFormat="1" ht="21.75" customHeight="1"/>
    <row r="46" s="2" customFormat="1" ht="21.75" customHeight="1"/>
    <row r="47" s="2" customFormat="1" ht="21.75" customHeight="1"/>
    <row r="48" s="2" customFormat="1" ht="21.75" customHeight="1"/>
    <row r="49" s="2" customFormat="1" ht="21.75" customHeight="1"/>
    <row r="50" s="2" customFormat="1" ht="21.75" customHeight="1"/>
    <row r="51" s="2" customFormat="1" ht="21.75" customHeight="1"/>
    <row r="52" s="2" customFormat="1" ht="21.75" customHeight="1"/>
    <row r="53" s="2" customFormat="1" ht="21.75" customHeight="1"/>
    <row r="54" s="2" customFormat="1" ht="21.75" customHeight="1"/>
    <row r="55" s="2" customFormat="1" ht="21.75" customHeight="1"/>
    <row r="56" s="2" customFormat="1" ht="21.75" customHeight="1"/>
    <row r="57" s="2" customFormat="1" ht="21.75" customHeight="1"/>
    <row r="58" s="2" customFormat="1" ht="21.75" customHeight="1"/>
    <row r="59" s="2" customFormat="1" ht="21.75" customHeight="1"/>
    <row r="60" s="2" customFormat="1" ht="21.75" customHeight="1"/>
    <row r="61" s="2" customFormat="1" ht="21.75" customHeight="1"/>
    <row r="62" s="2" customFormat="1" ht="21.75" customHeight="1"/>
    <row r="63" s="2" customFormat="1" ht="21.75" customHeight="1"/>
    <row r="64" s="2" customFormat="1" ht="21.75" customHeight="1"/>
    <row r="65" s="2" customFormat="1" ht="21.75" customHeight="1"/>
    <row r="66" s="2" customFormat="1" ht="21.75" customHeight="1"/>
    <row r="67" s="2" customFormat="1" ht="21.75" customHeight="1"/>
    <row r="68" s="2" customFormat="1" ht="21.75" customHeight="1"/>
    <row r="69" s="2" customFormat="1" ht="21.75" customHeight="1"/>
    <row r="70" s="2" customFormat="1" ht="21.75" customHeight="1"/>
    <row r="71" s="2" customFormat="1" ht="21.75" customHeight="1"/>
    <row r="72" s="2" customFormat="1" ht="21.75" customHeight="1"/>
    <row r="73" s="2" customFormat="1" ht="21.75" customHeight="1"/>
    <row r="74" s="2" customFormat="1" ht="21.75" customHeight="1"/>
    <row r="75" s="2" customFormat="1" ht="21.75" customHeight="1"/>
    <row r="76" s="2" customFormat="1" ht="21.75" customHeight="1"/>
    <row r="77" s="2" customFormat="1" ht="21.75" customHeight="1"/>
    <row r="78" s="2" customFormat="1" ht="21.75" customHeight="1"/>
    <row r="79" s="2" customFormat="1" ht="21.75" customHeight="1"/>
    <row r="80" s="2" customFormat="1" ht="21.75" customHeight="1"/>
    <row r="81" s="2" customFormat="1" ht="21.75" customHeight="1"/>
    <row r="82" s="2" customFormat="1" ht="21.75" customHeight="1"/>
    <row r="83" s="2" customFormat="1" ht="21.75" customHeight="1"/>
    <row r="84" s="2" customFormat="1" ht="21.75" customHeight="1"/>
    <row r="85" s="2" customFormat="1" ht="21.75" customHeight="1"/>
    <row r="86" s="2" customFormat="1" ht="21.75" customHeight="1"/>
    <row r="87" s="2" customFormat="1" ht="21.75" customHeight="1"/>
    <row r="88" s="2" customFormat="1" ht="21.75" customHeight="1"/>
    <row r="89" s="2" customFormat="1" ht="21.75" customHeight="1"/>
    <row r="90" s="2" customFormat="1" ht="21.75" customHeight="1"/>
    <row r="91" s="2" customFormat="1" ht="21.75" customHeight="1"/>
    <row r="92" s="2" customFormat="1" ht="21.75" customHeight="1"/>
    <row r="93" s="2" customFormat="1" ht="21.75" customHeight="1"/>
    <row r="94" s="2" customFormat="1" ht="21.75" customHeight="1"/>
    <row r="95" s="2" customFormat="1" ht="21.75" customHeight="1"/>
    <row r="96" s="2" customFormat="1" ht="21.75" customHeight="1"/>
    <row r="97" s="2" customFormat="1" ht="21.75" customHeight="1"/>
    <row r="98" s="2" customFormat="1" ht="21.75" customHeight="1"/>
    <row r="99" s="2" customFormat="1" ht="21.75" customHeight="1"/>
    <row r="100" s="2" customFormat="1" ht="21.75" customHeight="1"/>
    <row r="101" s="2" customFormat="1" ht="21.75" customHeight="1"/>
    <row r="102" s="2" customFormat="1" ht="21.75" customHeight="1"/>
    <row r="103" s="2" customFormat="1" ht="21.75" customHeight="1"/>
    <row r="104" s="2" customFormat="1" ht="21.75" customHeight="1"/>
    <row r="105" s="2" customFormat="1" ht="21.75" customHeight="1"/>
    <row r="106" s="2" customFormat="1" ht="21.75" customHeight="1"/>
    <row r="107" s="2" customFormat="1" ht="21.75" customHeight="1"/>
    <row r="108" s="2" customFormat="1" ht="21.75" customHeight="1"/>
    <row r="109" s="2" customFormat="1" ht="21.75" customHeight="1"/>
    <row r="110" s="2" customFormat="1" ht="21.75" customHeight="1"/>
    <row r="111" s="2" customFormat="1" ht="21.75" customHeight="1"/>
    <row r="112" s="2" customFormat="1" ht="21.75" customHeight="1"/>
    <row r="113" s="2" customFormat="1" ht="21.75" customHeight="1"/>
    <row r="114" s="2" customFormat="1" ht="21.75" customHeight="1"/>
    <row r="115" s="2" customFormat="1" ht="21.75" customHeight="1"/>
    <row r="116" s="2" customFormat="1" ht="21.75" customHeight="1"/>
    <row r="117" s="2" customFormat="1" ht="21.75" customHeight="1"/>
    <row r="118" s="2" customFormat="1" ht="21.75" customHeight="1"/>
    <row r="119" s="2" customFormat="1" ht="21.75" customHeight="1"/>
    <row r="120" s="2" customFormat="1" ht="21.75" customHeight="1"/>
    <row r="121" s="2" customFormat="1" ht="21.75" customHeight="1"/>
    <row r="122" s="2" customFormat="1" ht="21.75" customHeight="1"/>
    <row r="123" s="2" customFormat="1" ht="21.75" customHeight="1"/>
    <row r="124" s="2" customFormat="1" ht="21.75" customHeight="1"/>
    <row r="125" s="2" customFormat="1" ht="21.75" customHeight="1"/>
    <row r="126" s="2" customFormat="1" ht="21.75" customHeight="1"/>
    <row r="127" s="2" customFormat="1" ht="21.75" customHeight="1"/>
    <row r="128" s="2" customFormat="1"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row r="199" ht="21.75" customHeight="1"/>
    <row r="200" ht="21.75" customHeight="1"/>
    <row r="201" ht="21.75" customHeight="1"/>
    <row r="202" ht="21.75" customHeight="1"/>
    <row r="203" ht="21.75" customHeight="1"/>
    <row r="204" ht="21.75" customHeight="1"/>
    <row r="205" ht="21.75" customHeight="1"/>
    <row r="206" ht="21.75" customHeight="1"/>
    <row r="207" ht="21.75" customHeight="1"/>
    <row r="208" ht="21.75" customHeight="1"/>
    <row r="209" ht="21.75" customHeight="1"/>
    <row r="210" ht="21.75" customHeight="1"/>
    <row r="211" ht="21.75" customHeight="1"/>
    <row r="212" ht="21.75" customHeight="1"/>
    <row r="213" ht="21.75" customHeight="1"/>
    <row r="214" ht="21.75" customHeight="1"/>
    <row r="215" ht="21.75" customHeight="1"/>
    <row r="216" ht="21.75" customHeight="1"/>
    <row r="217" ht="21.75" customHeight="1"/>
    <row r="218" ht="21.75" customHeight="1"/>
    <row r="219" ht="21.75" customHeight="1"/>
    <row r="220" ht="21.75" customHeight="1"/>
    <row r="221" ht="21.75" customHeight="1"/>
    <row r="222" ht="21.75" customHeight="1"/>
    <row r="223" ht="21.75" customHeight="1"/>
    <row r="224" ht="21.75" customHeight="1"/>
    <row r="225" ht="21.75" customHeight="1"/>
    <row r="226" ht="21.75" customHeight="1"/>
    <row r="227" ht="21.75" customHeight="1"/>
    <row r="228" ht="21.75" customHeight="1"/>
    <row r="229" ht="21.75" customHeight="1"/>
    <row r="230" ht="21.75" customHeight="1"/>
    <row r="231" ht="21.75" customHeight="1"/>
    <row r="232" ht="21.75" customHeight="1"/>
    <row r="233" ht="21.75" customHeight="1"/>
    <row r="234" ht="21.75" customHeight="1"/>
    <row r="235" ht="21.75" customHeight="1"/>
    <row r="236" ht="21.75" customHeight="1"/>
    <row r="237" ht="21.75" customHeight="1"/>
    <row r="238" ht="21.75" customHeight="1"/>
    <row r="239" ht="21.75" customHeight="1"/>
    <row r="240" ht="21.75" customHeight="1"/>
    <row r="241" ht="21.75" customHeight="1"/>
    <row r="242" ht="21.75" customHeight="1"/>
    <row r="243" ht="21.75" customHeight="1"/>
    <row r="244" ht="21.75" customHeight="1"/>
    <row r="245" ht="21.75" customHeight="1"/>
    <row r="246" ht="21.75" customHeight="1"/>
    <row r="247" ht="21.75" customHeight="1"/>
    <row r="248" ht="21.75" customHeight="1"/>
    <row r="249" ht="21.75" customHeight="1"/>
    <row r="250" ht="21.75" customHeight="1"/>
    <row r="251" ht="21.75" customHeight="1"/>
    <row r="252" ht="21.75" customHeight="1"/>
    <row r="253" ht="21.75" customHeight="1"/>
    <row r="254" ht="21.75" customHeight="1"/>
    <row r="255" ht="21.75" customHeight="1"/>
    <row r="256" ht="21.75" customHeight="1"/>
    <row r="257" ht="21.75" customHeight="1"/>
    <row r="258" ht="21.75" customHeight="1"/>
    <row r="259" ht="21.75" customHeight="1"/>
    <row r="260" ht="21.75" customHeight="1"/>
    <row r="261" ht="21.75" customHeight="1"/>
    <row r="262" ht="21.75" customHeight="1"/>
    <row r="263" ht="21.75" customHeight="1"/>
    <row r="264" ht="21.75" customHeight="1"/>
    <row r="265" ht="21.75" customHeight="1"/>
    <row r="266" ht="21.75" customHeight="1"/>
    <row r="267" ht="21.75" customHeight="1"/>
    <row r="268" ht="21.75" customHeight="1"/>
    <row r="269" ht="21.75" customHeight="1"/>
    <row r="270" ht="21.75" customHeight="1"/>
    <row r="271" ht="21.75" customHeight="1"/>
    <row r="272" ht="21.75" customHeight="1"/>
    <row r="273" ht="21.75" customHeight="1"/>
    <row r="274" ht="21.75" customHeight="1"/>
    <row r="275" ht="21.75" customHeight="1"/>
    <row r="276" ht="21.75" customHeight="1"/>
    <row r="277" ht="21.75" customHeight="1"/>
    <row r="278" ht="21.75" customHeight="1"/>
    <row r="279" ht="21.75" customHeight="1"/>
    <row r="280" ht="21.75" customHeight="1"/>
    <row r="281" ht="21.75" customHeight="1"/>
    <row r="282" ht="21.75" customHeight="1"/>
    <row r="283" ht="21.75" customHeight="1"/>
    <row r="284" ht="21.75" customHeight="1"/>
    <row r="285" ht="21.75" customHeight="1"/>
    <row r="286" ht="21.75" customHeight="1"/>
    <row r="287" ht="21.75" customHeight="1"/>
    <row r="288" ht="21.75" customHeight="1"/>
    <row r="289" ht="21.75" customHeight="1"/>
    <row r="290" ht="21.75" customHeight="1"/>
    <row r="291" ht="21.75" customHeight="1"/>
    <row r="292" ht="21.75" customHeight="1"/>
    <row r="293" ht="21.75" customHeight="1"/>
    <row r="294" ht="21.75" customHeight="1"/>
    <row r="295" ht="21.75" customHeight="1"/>
    <row r="296" ht="21.75" customHeight="1"/>
    <row r="297" ht="21.75" customHeight="1"/>
    <row r="298" ht="21.75" customHeight="1"/>
    <row r="299" ht="21.75" customHeight="1"/>
    <row r="300" ht="21.75" customHeight="1"/>
    <row r="301" ht="21.75" customHeight="1"/>
    <row r="302" ht="21.75" customHeight="1"/>
    <row r="303" ht="21.75" customHeight="1"/>
    <row r="304" ht="21.75" customHeight="1"/>
    <row r="305" ht="21.75" customHeight="1"/>
    <row r="306" ht="21.75" customHeight="1"/>
    <row r="307" ht="21.75" customHeight="1"/>
    <row r="308" ht="21.75" customHeight="1"/>
    <row r="309" ht="21.75" customHeight="1"/>
    <row r="310" ht="21.75" customHeight="1"/>
    <row r="311" ht="21.75" customHeight="1"/>
    <row r="312" ht="21.75" customHeight="1"/>
    <row r="313" ht="21.75" customHeight="1"/>
    <row r="314" ht="21.75" customHeight="1"/>
    <row r="315" ht="21.75" customHeight="1"/>
    <row r="316" ht="21.75" customHeight="1"/>
    <row r="317" ht="21.75" customHeight="1"/>
    <row r="318" ht="21.75" customHeight="1"/>
    <row r="319" ht="21.75" customHeight="1" thickBot="1"/>
    <row r="320" spans="1:88" s="6" customFormat="1" ht="21.75" customHeight="1" thickBot="1">
      <c r="A320" s="4" t="s">
        <v>505</v>
      </c>
      <c r="B320" s="4" t="s">
        <v>608</v>
      </c>
      <c r="C320" s="4" t="s">
        <v>491</v>
      </c>
      <c r="D320" s="5" t="s">
        <v>1054</v>
      </c>
      <c r="E320" s="6" t="s">
        <v>1076</v>
      </c>
      <c r="F320" s="4" t="s">
        <v>399</v>
      </c>
      <c r="G320" s="7" t="s">
        <v>609</v>
      </c>
      <c r="H320" s="7" t="s">
        <v>610</v>
      </c>
      <c r="I320" s="6" t="s">
        <v>611</v>
      </c>
      <c r="J320" s="6" t="s">
        <v>279</v>
      </c>
      <c r="K320" s="6" t="s">
        <v>280</v>
      </c>
      <c r="L320" s="6" t="s">
        <v>281</v>
      </c>
      <c r="M320" s="6" t="s">
        <v>282</v>
      </c>
      <c r="N320" s="6" t="s">
        <v>606</v>
      </c>
      <c r="O320" s="6" t="s">
        <v>548</v>
      </c>
      <c r="P320" s="6" t="s">
        <v>217</v>
      </c>
      <c r="Q320" s="6" t="s">
        <v>218</v>
      </c>
      <c r="R320" s="6" t="s">
        <v>856</v>
      </c>
      <c r="S320" s="6" t="s">
        <v>586</v>
      </c>
      <c r="T320" s="6" t="s">
        <v>587</v>
      </c>
      <c r="U320" s="6" t="s">
        <v>308</v>
      </c>
      <c r="V320" s="6" t="s">
        <v>722</v>
      </c>
      <c r="W320" s="4" t="s">
        <v>441</v>
      </c>
      <c r="X320" s="8" t="s">
        <v>603</v>
      </c>
      <c r="Y320" s="9" t="s">
        <v>939</v>
      </c>
      <c r="Z320" s="9" t="s">
        <v>940</v>
      </c>
      <c r="AA320" s="9" t="s">
        <v>1224</v>
      </c>
      <c r="AB320" s="9" t="s">
        <v>1225</v>
      </c>
      <c r="AC320" s="9" t="s">
        <v>1056</v>
      </c>
      <c r="AD320" s="10" t="s">
        <v>967</v>
      </c>
      <c r="AE320" s="9"/>
      <c r="AF320" s="11" t="s">
        <v>1232</v>
      </c>
      <c r="AG320" s="12" t="s">
        <v>981</v>
      </c>
      <c r="AH320" s="13" t="s">
        <v>981</v>
      </c>
      <c r="AI320" s="6" t="s">
        <v>982</v>
      </c>
      <c r="AJ320" s="6" t="s">
        <v>1292</v>
      </c>
      <c r="AK320" s="14" t="s">
        <v>1293</v>
      </c>
      <c r="AL320" s="5" t="s">
        <v>1293</v>
      </c>
      <c r="AM320" s="4" t="s">
        <v>980</v>
      </c>
      <c r="AN320" s="5" t="s">
        <v>980</v>
      </c>
      <c r="AO320" s="14" t="s">
        <v>1283</v>
      </c>
      <c r="AP320" s="5" t="s">
        <v>1283</v>
      </c>
      <c r="AQ320" s="6" t="s">
        <v>549</v>
      </c>
      <c r="AR320" s="6" t="s">
        <v>1015</v>
      </c>
      <c r="AS320" s="6" t="s">
        <v>1077</v>
      </c>
      <c r="AT320" s="6" t="s">
        <v>1016</v>
      </c>
      <c r="AU320" s="6" t="s">
        <v>1017</v>
      </c>
      <c r="AV320" s="6" t="s">
        <v>1018</v>
      </c>
      <c r="AW320" s="14" t="s">
        <v>1013</v>
      </c>
      <c r="AX320" s="5" t="s">
        <v>1013</v>
      </c>
      <c r="AY320" s="6" t="s">
        <v>648</v>
      </c>
      <c r="AZ320" s="4" t="s">
        <v>412</v>
      </c>
      <c r="BA320" s="4" t="s">
        <v>682</v>
      </c>
      <c r="BB320" s="14" t="s">
        <v>683</v>
      </c>
      <c r="BC320" s="6" t="s">
        <v>684</v>
      </c>
      <c r="BD320" s="4" t="s">
        <v>1240</v>
      </c>
      <c r="BE320" s="4" t="s">
        <v>424</v>
      </c>
      <c r="BF320" s="15" t="s">
        <v>685</v>
      </c>
      <c r="BG320" s="5" t="s">
        <v>1144</v>
      </c>
      <c r="BH320" s="14" t="s">
        <v>1201</v>
      </c>
      <c r="BI320" s="5" t="s">
        <v>1201</v>
      </c>
      <c r="BJ320" s="4" t="s">
        <v>1235</v>
      </c>
      <c r="BK320" s="4" t="s">
        <v>1236</v>
      </c>
      <c r="BL320" s="6" t="s">
        <v>411</v>
      </c>
      <c r="BM320" s="6" t="s">
        <v>748</v>
      </c>
      <c r="BN320" s="6" t="s">
        <v>470</v>
      </c>
      <c r="BO320" s="14" t="s">
        <v>854</v>
      </c>
      <c r="BP320" s="5" t="s">
        <v>854</v>
      </c>
      <c r="BQ320" s="6" t="s">
        <v>1099</v>
      </c>
      <c r="BR320" s="6" t="s">
        <v>1082</v>
      </c>
      <c r="BS320" s="6" t="s">
        <v>700</v>
      </c>
      <c r="BT320" s="6" t="s">
        <v>701</v>
      </c>
      <c r="BU320" s="6" t="s">
        <v>702</v>
      </c>
      <c r="BV320" s="6" t="s">
        <v>647</v>
      </c>
      <c r="BW320" s="6" t="s">
        <v>656</v>
      </c>
      <c r="BX320" s="6" t="s">
        <v>657</v>
      </c>
      <c r="BY320" s="6" t="s">
        <v>658</v>
      </c>
      <c r="BZ320" s="6" t="s">
        <v>957</v>
      </c>
      <c r="CA320" s="6" t="s">
        <v>321</v>
      </c>
      <c r="CB320" s="6" t="s">
        <v>322</v>
      </c>
      <c r="CC320" s="6" t="s">
        <v>756</v>
      </c>
      <c r="CD320" s="6" t="s">
        <v>757</v>
      </c>
      <c r="CE320" s="6" t="s">
        <v>835</v>
      </c>
      <c r="CF320" s="6" t="s">
        <v>1259</v>
      </c>
      <c r="CG320" s="6" t="s">
        <v>1145</v>
      </c>
      <c r="CH320" s="6" t="s">
        <v>1146</v>
      </c>
      <c r="CI320" s="6" t="s">
        <v>1147</v>
      </c>
      <c r="CJ320" s="6" t="s">
        <v>1267</v>
      </c>
    </row>
    <row r="321" ht="21.75" customHeight="1"/>
    <row r="322" ht="21.75" customHeight="1"/>
    <row r="323" ht="21.75" customHeight="1"/>
    <row r="324" ht="21.75" customHeight="1"/>
    <row r="325" ht="21.75" customHeight="1"/>
    <row r="326" ht="21.75" customHeight="1"/>
    <row r="327" ht="21.75" customHeight="1"/>
    <row r="328" ht="21.75" customHeight="1"/>
    <row r="329" ht="21.75" customHeight="1"/>
    <row r="330" ht="21.75" customHeight="1"/>
    <row r="331" ht="21.75" customHeight="1"/>
    <row r="332" ht="21.75" customHeight="1"/>
    <row r="333" ht="21.75" customHeight="1"/>
    <row r="334" ht="21.75" customHeight="1"/>
    <row r="335" ht="21.75" customHeight="1"/>
    <row r="336" ht="21.75" customHeight="1"/>
    <row r="337" ht="21.75" customHeight="1"/>
    <row r="338" ht="21.75" customHeight="1"/>
    <row r="339" ht="21.75" customHeight="1"/>
    <row r="340" ht="21.75" customHeight="1"/>
    <row r="341" ht="21.75" customHeight="1"/>
    <row r="342" ht="21.75" customHeight="1"/>
    <row r="343" ht="21.75" customHeight="1"/>
    <row r="344" ht="21.75" customHeight="1"/>
    <row r="345" ht="21.75" customHeight="1"/>
    <row r="346" ht="21.75" customHeight="1"/>
    <row r="347" ht="21.75" customHeight="1"/>
    <row r="348" ht="21.75" customHeight="1"/>
    <row r="349" ht="21.75" customHeight="1"/>
    <row r="350" ht="21.75" customHeight="1"/>
    <row r="351" ht="21.75" customHeight="1"/>
    <row r="352" ht="21.75" customHeight="1"/>
    <row r="353" ht="21.75" customHeight="1"/>
    <row r="354" ht="21.75" customHeight="1"/>
    <row r="355" ht="21.75" customHeight="1"/>
    <row r="356" ht="21.75" customHeight="1"/>
    <row r="357" ht="21.75" customHeight="1"/>
    <row r="358" ht="21.75" customHeight="1"/>
    <row r="359" ht="21.75" customHeight="1"/>
    <row r="360" ht="21.75" customHeight="1"/>
    <row r="361" ht="21.75" customHeight="1"/>
    <row r="362" ht="21.75" customHeight="1"/>
    <row r="363" ht="21.75" customHeight="1"/>
    <row r="364" ht="21.75" customHeight="1"/>
    <row r="365" ht="21.75" customHeight="1"/>
    <row r="366" ht="21.75" customHeight="1"/>
    <row r="367" ht="21.75" customHeight="1"/>
    <row r="368" ht="21.75" customHeight="1"/>
    <row r="369" ht="21.75" customHeight="1"/>
    <row r="370" ht="21.75" customHeight="1"/>
    <row r="371" ht="21.75" customHeight="1"/>
    <row r="372" ht="21.75" customHeight="1"/>
    <row r="373" ht="21.75" customHeight="1"/>
    <row r="374" ht="21.75" customHeight="1"/>
    <row r="375" ht="21.75" customHeight="1"/>
    <row r="376" ht="21.75" customHeight="1"/>
    <row r="377" ht="21.75" customHeight="1"/>
    <row r="378" ht="21.75" customHeight="1"/>
    <row r="379" ht="21.75" customHeight="1"/>
    <row r="380" ht="21.75" customHeight="1"/>
    <row r="381" ht="21.75" customHeight="1"/>
    <row r="382" ht="21.75" customHeight="1"/>
    <row r="383" ht="21.75" customHeight="1"/>
    <row r="384" ht="21.75" customHeight="1"/>
    <row r="385" ht="21.75" customHeight="1"/>
    <row r="386" ht="21.75" customHeight="1"/>
    <row r="387" ht="21.75" customHeight="1"/>
    <row r="388" ht="21.75" customHeight="1"/>
    <row r="389" ht="21.75" customHeight="1"/>
    <row r="390" ht="21.75" customHeight="1"/>
    <row r="391" ht="21.75" customHeight="1"/>
    <row r="392" ht="21.75" customHeight="1"/>
    <row r="393" ht="21.75" customHeight="1"/>
    <row r="394" ht="21.75" customHeight="1"/>
    <row r="395" ht="21.75" customHeight="1"/>
    <row r="396" ht="21.75" customHeight="1"/>
    <row r="397" ht="21.75" customHeight="1"/>
    <row r="398" ht="21.75" customHeight="1"/>
    <row r="399" ht="21.75" customHeight="1"/>
    <row r="400" ht="21.75" customHeight="1"/>
    <row r="401" ht="21.75" customHeight="1"/>
    <row r="402" ht="21.75" customHeight="1"/>
    <row r="403" ht="21.75" customHeight="1"/>
    <row r="404" ht="21.75" customHeight="1"/>
    <row r="405" ht="21.75" customHeight="1"/>
    <row r="406" ht="21.75" customHeight="1"/>
    <row r="407" ht="21.75" customHeight="1"/>
    <row r="408" ht="21.75" customHeight="1"/>
    <row r="409" ht="21.75" customHeight="1"/>
    <row r="410" ht="21.75" customHeight="1"/>
    <row r="411" ht="21.75" customHeight="1"/>
    <row r="412" ht="21.75" customHeight="1"/>
    <row r="413" ht="21.75" customHeight="1"/>
    <row r="414" ht="21.75" customHeight="1"/>
    <row r="415" ht="21.75" customHeight="1"/>
    <row r="416" ht="21.75" customHeight="1"/>
    <row r="417" ht="21.75" customHeight="1"/>
    <row r="418" ht="21.75" customHeight="1"/>
    <row r="419" ht="21.75" customHeight="1"/>
    <row r="420" ht="21.75" customHeight="1"/>
    <row r="421" ht="21.75" customHeight="1"/>
    <row r="422" ht="21.75" customHeight="1"/>
    <row r="423" ht="21.75" customHeight="1"/>
    <row r="424" ht="21.75" customHeight="1"/>
    <row r="425" ht="21.75" customHeight="1"/>
    <row r="426" ht="21.75" customHeight="1"/>
    <row r="427" ht="21.75" customHeight="1"/>
    <row r="428" ht="21.75" customHeight="1"/>
    <row r="429" ht="21.75" customHeight="1"/>
    <row r="430" ht="21.75" customHeight="1"/>
    <row r="431" ht="21.75" customHeight="1"/>
    <row r="432" ht="21.75" customHeight="1"/>
    <row r="433" ht="21.75" customHeight="1"/>
    <row r="434" ht="21.75" customHeight="1"/>
    <row r="435" ht="21.75" customHeight="1"/>
    <row r="436" ht="21.75" customHeight="1"/>
    <row r="437" ht="21.75" customHeight="1"/>
    <row r="438" ht="21.75" customHeight="1"/>
    <row r="439" ht="21.75" customHeight="1"/>
    <row r="440" ht="21.75" customHeight="1"/>
    <row r="441" ht="21.75" customHeight="1"/>
    <row r="442" ht="21.75" customHeight="1"/>
    <row r="443" ht="21.75" customHeight="1"/>
    <row r="444" ht="21.75" customHeight="1"/>
    <row r="445" ht="21.75" customHeight="1"/>
    <row r="446" ht="21.75" customHeight="1"/>
    <row r="447" ht="21.75" customHeight="1"/>
    <row r="448" ht="21.75" customHeight="1"/>
    <row r="449" ht="21.75" customHeight="1"/>
    <row r="450" ht="21.75" customHeight="1"/>
    <row r="451" ht="21.75" customHeight="1"/>
    <row r="452" ht="21.75" customHeight="1"/>
    <row r="453" ht="21.75" customHeight="1"/>
    <row r="454" ht="21.75" customHeight="1"/>
    <row r="455" ht="21.75" customHeight="1"/>
    <row r="456" ht="21.75" customHeight="1"/>
    <row r="457" ht="21.75" customHeight="1"/>
    <row r="458" ht="21.75" customHeight="1"/>
    <row r="459" ht="21.75" customHeight="1"/>
    <row r="460" ht="21.75" customHeight="1"/>
    <row r="461" ht="21.75" customHeight="1"/>
    <row r="462" ht="21.75" customHeight="1"/>
    <row r="463" ht="21.75" customHeight="1"/>
    <row r="464" ht="21.75" customHeight="1"/>
    <row r="465" ht="21.75" customHeight="1"/>
    <row r="466" ht="21.75" customHeight="1"/>
    <row r="467" ht="21.75" customHeight="1"/>
    <row r="468" ht="21.75" customHeight="1"/>
    <row r="469" ht="21.75" customHeight="1"/>
    <row r="470" ht="21.75" customHeight="1"/>
    <row r="471" ht="21.75" customHeight="1"/>
    <row r="472" ht="21.75" customHeight="1"/>
    <row r="473" ht="21.75" customHeight="1"/>
    <row r="474" ht="21.75" customHeight="1"/>
    <row r="475" ht="21.75" customHeight="1"/>
    <row r="476" ht="21.75" customHeight="1"/>
    <row r="477" ht="21.75" customHeight="1"/>
    <row r="478" ht="21.75" customHeight="1"/>
    <row r="479" ht="21.75" customHeight="1"/>
    <row r="480" ht="21.75" customHeight="1"/>
    <row r="481" ht="21.75" customHeight="1"/>
    <row r="482" ht="21.75" customHeight="1"/>
    <row r="483" ht="21.75" customHeight="1"/>
    <row r="484" ht="21.75" customHeight="1"/>
    <row r="485" ht="21.75" customHeight="1"/>
    <row r="486" ht="21.75" customHeight="1"/>
    <row r="487" ht="21.75" customHeight="1"/>
    <row r="488" ht="21.75" customHeight="1"/>
    <row r="489" ht="21.75" customHeight="1"/>
    <row r="490" ht="21.75" customHeight="1"/>
    <row r="491" ht="21.75" customHeight="1"/>
    <row r="492" ht="21.75" customHeight="1"/>
    <row r="493" ht="21.75" customHeight="1"/>
    <row r="494" ht="21.75" customHeight="1"/>
    <row r="495" ht="21.75" customHeight="1"/>
    <row r="496" ht="21.75" customHeight="1"/>
    <row r="497" ht="21.75" customHeight="1"/>
    <row r="498" ht="21.75" customHeight="1"/>
    <row r="499" ht="21.75" customHeight="1"/>
    <row r="500" ht="21.75" customHeight="1"/>
    <row r="501" ht="21.75" customHeight="1"/>
    <row r="502" ht="21.75" customHeight="1"/>
    <row r="503" ht="21.75" customHeight="1"/>
    <row r="504" ht="21.75" customHeight="1"/>
    <row r="505" ht="21.75" customHeight="1"/>
    <row r="506" ht="21.75" customHeight="1"/>
    <row r="507" ht="21.75" customHeight="1"/>
    <row r="508" ht="21.75" customHeight="1"/>
    <row r="509" ht="21.75" customHeight="1"/>
    <row r="510" ht="21.75" customHeight="1"/>
    <row r="511" ht="21.75" customHeight="1"/>
    <row r="512" ht="21.75" customHeight="1"/>
    <row r="513" ht="21.75" customHeight="1"/>
    <row r="514" ht="21.75" customHeight="1"/>
    <row r="515" ht="21.75" customHeight="1"/>
    <row r="516" ht="21.75" customHeight="1"/>
    <row r="517" ht="21.75" customHeight="1"/>
    <row r="518" ht="21.75" customHeight="1"/>
    <row r="519" ht="21.75" customHeight="1"/>
    <row r="520" ht="21.75" customHeight="1"/>
    <row r="521" ht="21.75" customHeight="1"/>
    <row r="522" ht="21.75" customHeight="1"/>
    <row r="523" ht="21.75" customHeight="1"/>
    <row r="524" ht="21.75" customHeight="1"/>
    <row r="525" ht="21.75" customHeight="1"/>
    <row r="526" ht="21.75" customHeight="1"/>
    <row r="527" ht="21.75" customHeight="1"/>
    <row r="528" ht="21.75" customHeight="1"/>
    <row r="529" ht="21.75" customHeight="1"/>
    <row r="530" ht="21.75" customHeight="1"/>
    <row r="531" ht="21.75" customHeight="1"/>
    <row r="532" ht="21.75" customHeight="1"/>
    <row r="533" ht="21.75" customHeight="1"/>
    <row r="534" ht="21.75" customHeight="1"/>
    <row r="535" ht="21.75" customHeight="1"/>
    <row r="536" ht="21.75" customHeight="1"/>
    <row r="537" ht="21.75" customHeight="1"/>
    <row r="538" ht="21.75" customHeight="1"/>
    <row r="539" ht="21.75" customHeight="1"/>
    <row r="540" ht="21.75" customHeight="1"/>
    <row r="541" ht="21.75" customHeight="1"/>
    <row r="542" ht="21.75" customHeight="1"/>
    <row r="543" ht="21.75" customHeight="1"/>
    <row r="544" ht="21.75" customHeight="1"/>
    <row r="545" ht="21.75" customHeight="1"/>
    <row r="546" ht="21.75" customHeight="1"/>
    <row r="547" ht="21.75" customHeight="1"/>
    <row r="548" ht="21.75" customHeight="1"/>
    <row r="549" ht="21.75" customHeight="1"/>
    <row r="550" ht="21.75" customHeight="1"/>
    <row r="551" ht="21.75" customHeight="1"/>
    <row r="552" ht="21.75" customHeight="1"/>
    <row r="553" ht="21.75" customHeight="1"/>
    <row r="554" ht="21.75" customHeight="1"/>
    <row r="555" ht="21.75" customHeight="1"/>
    <row r="556" ht="21.75" customHeight="1"/>
    <row r="557" ht="21.75" customHeight="1"/>
    <row r="558" ht="21.75" customHeight="1"/>
    <row r="559" ht="21.75" customHeight="1"/>
    <row r="560" ht="21.75" customHeight="1"/>
    <row r="561" ht="21.75" customHeight="1"/>
    <row r="562" ht="21.75" customHeight="1"/>
    <row r="563" ht="21.75" customHeight="1"/>
    <row r="564" ht="21.75" customHeight="1"/>
    <row r="565" ht="21.75" customHeight="1"/>
    <row r="566" ht="21.75" customHeight="1"/>
    <row r="567" ht="21.75" customHeight="1"/>
    <row r="568" ht="21.75" customHeight="1"/>
    <row r="569" ht="21.75" customHeight="1"/>
    <row r="570" ht="21.75" customHeight="1"/>
    <row r="571" ht="21.75" customHeight="1"/>
    <row r="572" ht="21.75" customHeight="1"/>
    <row r="573" ht="21.75" customHeight="1"/>
    <row r="574" ht="21.75" customHeight="1"/>
    <row r="575" ht="21.75" customHeight="1"/>
    <row r="576" ht="21.75" customHeight="1"/>
    <row r="577" ht="21.75" customHeight="1"/>
    <row r="578" ht="21.75" customHeight="1"/>
    <row r="579" ht="21.75" customHeight="1"/>
    <row r="580" ht="21.75" customHeight="1"/>
    <row r="581" ht="21.75" customHeight="1"/>
    <row r="582" ht="21.75" customHeight="1"/>
    <row r="583" ht="21.75" customHeight="1"/>
    <row r="584" ht="21.75" customHeight="1"/>
    <row r="585" ht="21.75" customHeight="1"/>
    <row r="586" ht="21.75" customHeight="1"/>
    <row r="587" ht="21.75" customHeight="1"/>
    <row r="588" ht="21.75" customHeight="1"/>
    <row r="589" ht="21.75" customHeight="1"/>
    <row r="590" ht="21.75" customHeight="1"/>
    <row r="591" ht="21.75" customHeight="1"/>
    <row r="592" ht="21.75" customHeight="1"/>
    <row r="593" ht="21.75" customHeight="1"/>
    <row r="594" ht="21.75" customHeight="1"/>
    <row r="595" ht="21.75" customHeight="1"/>
    <row r="596" ht="21.75" customHeight="1"/>
    <row r="597" ht="21.75" customHeight="1"/>
    <row r="598" ht="21.75" customHeight="1"/>
    <row r="599" ht="21.75" customHeight="1"/>
    <row r="600" ht="21.75" customHeight="1"/>
    <row r="601" ht="21.75" customHeight="1"/>
    <row r="602" ht="21.75" customHeight="1"/>
    <row r="603" ht="21.75" customHeight="1"/>
    <row r="604" ht="21.75" customHeight="1"/>
    <row r="605" ht="21.75" customHeight="1"/>
    <row r="606" ht="21.75" customHeight="1"/>
    <row r="607" ht="21.75" customHeight="1"/>
    <row r="608" ht="21.75" customHeight="1"/>
    <row r="609" ht="21.75" customHeight="1"/>
    <row r="610" ht="21.75" customHeight="1"/>
    <row r="611" ht="21.75" customHeight="1"/>
    <row r="612" ht="21.75" customHeight="1"/>
    <row r="613" ht="21.75" customHeight="1"/>
    <row r="614" ht="21.75" customHeight="1"/>
    <row r="615" ht="21.75" customHeight="1"/>
    <row r="616" ht="21.75" customHeight="1"/>
    <row r="617" ht="21.75" customHeight="1"/>
    <row r="618" ht="21.75" customHeight="1"/>
    <row r="619" ht="21.75" customHeight="1"/>
    <row r="620" ht="21.75" customHeight="1"/>
    <row r="621" ht="21.75" customHeight="1"/>
    <row r="622" ht="21.75" customHeight="1"/>
    <row r="623" ht="21.75" customHeight="1"/>
    <row r="624" ht="21.75" customHeight="1"/>
    <row r="625" ht="21.75" customHeight="1"/>
    <row r="626" ht="21.75" customHeight="1"/>
    <row r="627" ht="21.75" customHeight="1"/>
    <row r="628" ht="21.75" customHeight="1"/>
    <row r="629" ht="21.75" customHeight="1"/>
    <row r="630" ht="21.75" customHeight="1"/>
    <row r="631" ht="21.75" customHeight="1"/>
    <row r="632" ht="21.75" customHeight="1"/>
    <row r="633" ht="21.75" customHeight="1"/>
    <row r="634" ht="21.75" customHeight="1"/>
    <row r="635" ht="21.75" customHeight="1"/>
    <row r="636" ht="21.75" customHeight="1"/>
    <row r="637" ht="21.75" customHeight="1"/>
    <row r="638" ht="21.75" customHeight="1"/>
    <row r="639" ht="21.75" customHeight="1"/>
    <row r="640" ht="21.75" customHeight="1"/>
    <row r="641" ht="21.75" customHeight="1"/>
    <row r="642" ht="21.75" customHeight="1"/>
    <row r="643" ht="21.75" customHeight="1"/>
    <row r="644" ht="21.75" customHeight="1"/>
    <row r="645" ht="21.75" customHeight="1"/>
    <row r="646" ht="21.75" customHeight="1"/>
    <row r="647" ht="21.75" customHeight="1"/>
    <row r="648" ht="21.75" customHeight="1"/>
    <row r="649" ht="21.75" customHeight="1"/>
    <row r="650" ht="21.75" customHeight="1"/>
    <row r="651" ht="21.75" customHeight="1"/>
    <row r="652" ht="21.75" customHeight="1"/>
    <row r="653" ht="21.75" customHeight="1"/>
    <row r="654" ht="21.75" customHeight="1"/>
    <row r="655" ht="21.75" customHeight="1"/>
    <row r="656" ht="21.75" customHeight="1"/>
    <row r="657" ht="21.75" customHeight="1"/>
    <row r="658" ht="21.75" customHeight="1"/>
    <row r="659" ht="21.75" customHeight="1"/>
    <row r="660" ht="21.75" customHeight="1"/>
    <row r="661" ht="21.75" customHeight="1"/>
    <row r="662" ht="21.75" customHeight="1"/>
    <row r="663" ht="21.75" customHeight="1"/>
    <row r="664" ht="21.75" customHeight="1"/>
    <row r="665" ht="21.75" customHeight="1"/>
    <row r="666" ht="21.75" customHeight="1"/>
    <row r="667" ht="21.75" customHeight="1"/>
    <row r="668" ht="21.75" customHeight="1"/>
    <row r="669" ht="21.75" customHeight="1"/>
    <row r="670" ht="21.75" customHeight="1"/>
    <row r="671" ht="21.75" customHeight="1"/>
    <row r="672" ht="21.75" customHeight="1"/>
    <row r="673" ht="21.75" customHeight="1"/>
    <row r="674" ht="21.75" customHeight="1"/>
    <row r="675" ht="21.75" customHeight="1"/>
    <row r="676" ht="21.75" customHeight="1"/>
    <row r="677" ht="21.75" customHeight="1"/>
    <row r="678" ht="21.75" customHeight="1"/>
    <row r="679" ht="21.75" customHeight="1"/>
    <row r="680" ht="21.75" customHeight="1"/>
    <row r="681" ht="21.75" customHeight="1"/>
    <row r="682" ht="21.75" customHeight="1"/>
    <row r="683" ht="21.75" customHeight="1"/>
    <row r="684" ht="21.75" customHeight="1"/>
    <row r="685" ht="21.75" customHeight="1"/>
    <row r="686" ht="21.75" customHeight="1"/>
    <row r="687" ht="21.75" customHeight="1"/>
    <row r="688" ht="21.75" customHeight="1"/>
    <row r="689" ht="21.75" customHeight="1"/>
    <row r="690" ht="21.75" customHeight="1"/>
    <row r="691" ht="21.75" customHeight="1"/>
    <row r="692" ht="21.75" customHeight="1"/>
    <row r="693" ht="21.75" customHeight="1"/>
    <row r="694" ht="21.75" customHeight="1"/>
    <row r="695" ht="21.75" customHeight="1"/>
    <row r="696" ht="21.75" customHeight="1"/>
    <row r="697" ht="21.75" customHeight="1"/>
    <row r="698" ht="21.75" customHeight="1"/>
    <row r="699" ht="21.75" customHeight="1"/>
    <row r="700" ht="21.75" customHeight="1"/>
    <row r="701" ht="21.75" customHeight="1"/>
    <row r="702" ht="21.75" customHeight="1"/>
    <row r="703" ht="21.75" customHeight="1"/>
    <row r="704" ht="21.75" customHeight="1"/>
    <row r="705" ht="21.75" customHeight="1"/>
    <row r="706" ht="21.75" customHeight="1"/>
    <row r="707" ht="21.75" customHeight="1"/>
    <row r="708" ht="21.75" customHeight="1"/>
    <row r="709" ht="21.75" customHeight="1"/>
    <row r="710" ht="21.75" customHeight="1"/>
    <row r="711" ht="21.75" customHeight="1"/>
    <row r="712" ht="21.75" customHeight="1"/>
    <row r="713" ht="21.75" customHeight="1"/>
    <row r="714" ht="21.75" customHeight="1"/>
    <row r="715" ht="21.75" customHeight="1"/>
    <row r="716" ht="21.75" customHeight="1"/>
    <row r="717" ht="21.75" customHeight="1"/>
    <row r="718" ht="21.75" customHeight="1"/>
    <row r="719" ht="21.75" customHeight="1"/>
    <row r="720" ht="21.75" customHeight="1"/>
    <row r="721" ht="21.75" customHeight="1"/>
    <row r="722" ht="21.75" customHeight="1"/>
    <row r="723" ht="21.75" customHeight="1"/>
    <row r="724" ht="21.75" customHeight="1"/>
    <row r="725" ht="21.75" customHeight="1"/>
    <row r="726" ht="21.75" customHeight="1"/>
    <row r="727" ht="21.75" customHeight="1"/>
    <row r="728" ht="21.75" customHeight="1"/>
    <row r="729" ht="21.75" customHeight="1"/>
    <row r="730" ht="21.75" customHeight="1"/>
    <row r="731" ht="21.75" customHeight="1"/>
    <row r="732" ht="21.75" customHeight="1"/>
    <row r="733" ht="21.75" customHeight="1"/>
    <row r="734" ht="21.75" customHeight="1"/>
    <row r="735" ht="21.75" customHeight="1"/>
    <row r="736" ht="21.75" customHeight="1"/>
    <row r="737" ht="21.75" customHeight="1"/>
    <row r="738" ht="21.75" customHeight="1"/>
    <row r="739" ht="21.75" customHeight="1"/>
    <row r="740" ht="21.75" customHeight="1"/>
    <row r="741" ht="21.75" customHeight="1"/>
    <row r="742" ht="21.75" customHeight="1"/>
    <row r="743" ht="21.75" customHeight="1"/>
    <row r="744" ht="21.75" customHeight="1"/>
    <row r="745" ht="21.75" customHeight="1"/>
    <row r="746" ht="21.75" customHeight="1"/>
    <row r="747" ht="21.75" customHeight="1"/>
    <row r="748" ht="21.75" customHeight="1"/>
    <row r="749" ht="21.75" customHeight="1"/>
    <row r="750" ht="21.75" customHeight="1"/>
    <row r="751" ht="21.75" customHeight="1"/>
    <row r="752" ht="21.75" customHeight="1"/>
    <row r="753" ht="21.75" customHeight="1"/>
    <row r="754" ht="21.75" customHeight="1"/>
    <row r="755" ht="21.75" customHeight="1"/>
    <row r="756" ht="21.75" customHeight="1"/>
    <row r="757" ht="21.75" customHeight="1"/>
    <row r="758" ht="21.75" customHeight="1"/>
    <row r="759" ht="21.75" customHeight="1"/>
    <row r="760" ht="21.75" customHeight="1"/>
    <row r="761" ht="21.75" customHeight="1"/>
    <row r="762" ht="21.75" customHeight="1"/>
    <row r="763" ht="21.75" customHeight="1"/>
    <row r="764" ht="21.75" customHeight="1"/>
    <row r="765" ht="21.75" customHeight="1"/>
    <row r="766" ht="21.75" customHeight="1"/>
    <row r="767" ht="21.75" customHeight="1"/>
    <row r="768" ht="21.75" customHeight="1"/>
    <row r="769" ht="21.75" customHeight="1"/>
    <row r="770" ht="21.75" customHeight="1"/>
    <row r="771" ht="21.75" customHeight="1"/>
    <row r="772" ht="21.75" customHeight="1"/>
    <row r="773" ht="21.75" customHeight="1"/>
    <row r="774" ht="21.75" customHeight="1"/>
    <row r="775" ht="21.75" customHeight="1"/>
    <row r="776" ht="21.75" customHeight="1"/>
    <row r="777" ht="21.75" customHeight="1"/>
    <row r="778" ht="21.75" customHeight="1"/>
    <row r="779" ht="21.75" customHeight="1"/>
    <row r="780" ht="21.75" customHeight="1"/>
    <row r="781" ht="21.75" customHeight="1"/>
    <row r="782" ht="21.75" customHeight="1"/>
    <row r="783" ht="21.75" customHeight="1"/>
    <row r="784" ht="21.75" customHeight="1"/>
    <row r="785" ht="21.75" customHeight="1"/>
    <row r="786" ht="21.75" customHeight="1"/>
    <row r="787" ht="21.75" customHeight="1"/>
    <row r="788" ht="21.75" customHeight="1"/>
    <row r="789" ht="21.75" customHeight="1"/>
    <row r="790" ht="21.75" customHeight="1"/>
    <row r="791" ht="21.75" customHeight="1"/>
    <row r="792" ht="21.75" customHeight="1"/>
    <row r="793" ht="21.75" customHeight="1"/>
    <row r="794" ht="21.75" customHeight="1"/>
    <row r="795" ht="21.75" customHeight="1"/>
    <row r="796" ht="21.75" customHeight="1"/>
    <row r="797" ht="21.75" customHeight="1"/>
    <row r="798" ht="21.75" customHeight="1"/>
    <row r="799" ht="21.75" customHeight="1"/>
    <row r="800" ht="21.75" customHeight="1"/>
    <row r="801" ht="21.75" customHeight="1"/>
    <row r="802" ht="21.75" customHeight="1"/>
    <row r="803" ht="21.75" customHeight="1"/>
    <row r="804" ht="21.75" customHeight="1"/>
    <row r="805" ht="21.75" customHeight="1"/>
    <row r="806" ht="21.75" customHeight="1"/>
    <row r="807" ht="21.75" customHeight="1"/>
    <row r="808" ht="21.75" customHeight="1"/>
    <row r="809" ht="21.75" customHeight="1"/>
    <row r="810" ht="21.75" customHeight="1"/>
    <row r="811" ht="21.75" customHeight="1"/>
    <row r="812" ht="21.75" customHeight="1"/>
    <row r="813" ht="21.75" customHeight="1"/>
    <row r="814" ht="21.75" customHeight="1"/>
    <row r="815" ht="21.75" customHeight="1"/>
    <row r="816" ht="21.75" customHeight="1"/>
    <row r="817" ht="21.75" customHeight="1"/>
    <row r="818" ht="21.75" customHeight="1"/>
    <row r="819" ht="21.75" customHeight="1"/>
    <row r="820" ht="21.75" customHeight="1"/>
    <row r="821" ht="21.75" customHeight="1"/>
    <row r="822" ht="21.75" customHeight="1"/>
    <row r="823" ht="21.75" customHeight="1"/>
    <row r="824" ht="21.75" customHeight="1"/>
    <row r="825" ht="21.75" customHeight="1"/>
    <row r="826" ht="21.75" customHeight="1"/>
    <row r="827" ht="21.75" customHeight="1"/>
    <row r="828" ht="21.75" customHeight="1"/>
    <row r="829" ht="21.75" customHeight="1"/>
    <row r="830" ht="21.75" customHeight="1"/>
    <row r="831" ht="21.75" customHeight="1"/>
    <row r="832" ht="21.75" customHeight="1"/>
    <row r="833" ht="21.75" customHeight="1"/>
    <row r="834" ht="21.75" customHeight="1"/>
    <row r="835" ht="21.75" customHeight="1"/>
    <row r="836" ht="21.75" customHeight="1"/>
    <row r="837" ht="21.75" customHeight="1"/>
    <row r="838" ht="21.75" customHeight="1"/>
    <row r="839" ht="21.75" customHeight="1"/>
    <row r="840" ht="21.75" customHeight="1"/>
    <row r="841" ht="21.75" customHeight="1"/>
    <row r="842" ht="21.75" customHeight="1"/>
    <row r="843" ht="21.75" customHeight="1"/>
    <row r="844" ht="21.75" customHeight="1"/>
    <row r="845" ht="21.75" customHeight="1"/>
    <row r="846" ht="21.75" customHeight="1"/>
    <row r="847" ht="21.75" customHeight="1"/>
    <row r="848" ht="21.75" customHeight="1"/>
    <row r="849" ht="21.75" customHeight="1"/>
    <row r="850" ht="21.75" customHeight="1"/>
    <row r="851" ht="21.75" customHeight="1"/>
    <row r="852" ht="21.75" customHeight="1"/>
    <row r="853" ht="21.75" customHeight="1"/>
    <row r="854" ht="21.75" customHeight="1"/>
    <row r="855" ht="21.75" customHeight="1"/>
    <row r="856" ht="21.75" customHeight="1"/>
    <row r="857" ht="21.75" customHeight="1"/>
    <row r="858" ht="21.75" customHeight="1"/>
    <row r="859" ht="21.75" customHeight="1"/>
    <row r="860" ht="21.75" customHeight="1"/>
    <row r="861" ht="21.75" customHeight="1"/>
    <row r="862" ht="21.75" customHeight="1"/>
    <row r="863" ht="21.75" customHeight="1"/>
    <row r="864" ht="21.75" customHeight="1"/>
    <row r="865" ht="21.75" customHeight="1"/>
    <row r="866" ht="21.75" customHeight="1"/>
    <row r="867" ht="21.75" customHeight="1"/>
    <row r="868" ht="21.75" customHeight="1"/>
    <row r="869" ht="21.75" customHeight="1"/>
    <row r="870" ht="21.75" customHeight="1"/>
    <row r="871" ht="21.75" customHeight="1"/>
    <row r="872" ht="21.75" customHeight="1"/>
    <row r="873" ht="21.75" customHeight="1"/>
    <row r="874" ht="21.75" customHeight="1"/>
    <row r="875" ht="21.75" customHeight="1"/>
    <row r="876" ht="21.75" customHeight="1"/>
    <row r="877" ht="21.75" customHeight="1"/>
    <row r="878" ht="21.75" customHeight="1"/>
    <row r="879" ht="21.75" customHeight="1"/>
    <row r="880" ht="21.75" customHeight="1"/>
    <row r="881" ht="21.75" customHeight="1"/>
    <row r="882" ht="21.75" customHeight="1"/>
    <row r="883" ht="21.75" customHeight="1"/>
    <row r="884" ht="21.75" customHeight="1"/>
    <row r="885" ht="21.75" customHeight="1"/>
    <row r="886" ht="21.75" customHeight="1"/>
    <row r="887" ht="21.75" customHeight="1"/>
    <row r="888" ht="21.75" customHeight="1"/>
    <row r="889" ht="21.75" customHeight="1"/>
    <row r="890" ht="21.75" customHeight="1"/>
    <row r="891" ht="21.75" customHeight="1"/>
    <row r="892" ht="21.75" customHeight="1"/>
    <row r="893" ht="21.75" customHeight="1"/>
    <row r="894" ht="21.75" customHeight="1"/>
    <row r="895" ht="21.75" customHeight="1"/>
    <row r="896" ht="21.75" customHeight="1"/>
    <row r="897" ht="21.75" customHeight="1"/>
    <row r="898" ht="21.75" customHeight="1"/>
    <row r="899" ht="21.75" customHeight="1"/>
    <row r="900" ht="21.75" customHeight="1"/>
    <row r="901" ht="21.75" customHeight="1"/>
    <row r="902" ht="21.75" customHeight="1"/>
    <row r="903" ht="21.75" customHeight="1"/>
    <row r="904" ht="21.75" customHeight="1"/>
    <row r="905" ht="21.75" customHeight="1"/>
    <row r="906" ht="21.75" customHeight="1"/>
    <row r="907" ht="21.75" customHeight="1"/>
    <row r="908" ht="21.75" customHeight="1"/>
    <row r="909" ht="21.75" customHeight="1"/>
    <row r="910" ht="21.75" customHeight="1"/>
    <row r="911" ht="21.75" customHeight="1"/>
    <row r="912" ht="21.75" customHeight="1"/>
    <row r="913" ht="21.75" customHeight="1"/>
    <row r="914" ht="21.75" customHeight="1"/>
    <row r="915" ht="21.75" customHeight="1"/>
    <row r="916" ht="21.75" customHeight="1"/>
    <row r="917" ht="21.75" customHeight="1"/>
    <row r="918" ht="21.75" customHeight="1"/>
    <row r="919" ht="21.75" customHeight="1"/>
    <row r="920" ht="21.75" customHeight="1"/>
    <row r="921" ht="21.75" customHeight="1"/>
    <row r="922" ht="21.75" customHeight="1"/>
    <row r="923" ht="21.75" customHeight="1"/>
    <row r="924" ht="21.75" customHeight="1"/>
    <row r="925" ht="21.75" customHeight="1"/>
    <row r="926" ht="21.75" customHeight="1"/>
    <row r="927" ht="21.75" customHeight="1"/>
    <row r="928" ht="21.75" customHeight="1"/>
    <row r="929" ht="21.75" customHeight="1"/>
    <row r="930" ht="21.75" customHeight="1"/>
    <row r="931" ht="21.75" customHeight="1"/>
    <row r="932" ht="21.75" customHeight="1"/>
    <row r="933" ht="21.75" customHeight="1"/>
    <row r="934" ht="21.75" customHeight="1"/>
    <row r="935" ht="21.75" customHeight="1"/>
    <row r="936" ht="21.75" customHeight="1"/>
    <row r="937" ht="21.75" customHeight="1"/>
    <row r="938" ht="21.75" customHeight="1"/>
    <row r="939" ht="21.75" customHeight="1"/>
    <row r="940" ht="21.75" customHeight="1"/>
    <row r="941" ht="21.75" customHeight="1"/>
    <row r="942" ht="21.75" customHeight="1"/>
    <row r="943" ht="21.75" customHeight="1"/>
    <row r="944" ht="21.75" customHeight="1"/>
    <row r="945" ht="21.75" customHeight="1"/>
    <row r="946" ht="21.75" customHeight="1"/>
    <row r="947" ht="21.75" customHeight="1"/>
    <row r="948" ht="21.75" customHeight="1"/>
    <row r="949" ht="21.75" customHeight="1"/>
    <row r="950" ht="21.75" customHeight="1"/>
    <row r="951" ht="21.75" customHeight="1"/>
    <row r="952" ht="21.75" customHeight="1"/>
    <row r="953" ht="21.75" customHeight="1"/>
    <row r="954" ht="21.75" customHeight="1"/>
    <row r="955" ht="21.75" customHeight="1"/>
    <row r="956" ht="21.75" customHeight="1"/>
    <row r="957" ht="21.75" customHeight="1"/>
    <row r="958" ht="21.75" customHeight="1"/>
    <row r="959" ht="21.75" customHeight="1"/>
    <row r="960" ht="21.75" customHeight="1"/>
    <row r="961" ht="21.75" customHeight="1"/>
    <row r="962" ht="21.75" customHeight="1"/>
    <row r="963" ht="21.75" customHeight="1"/>
    <row r="964" ht="21.75" customHeight="1"/>
    <row r="965" ht="21.75" customHeight="1"/>
    <row r="966" ht="21.75" customHeight="1"/>
    <row r="967" ht="21.75" customHeight="1"/>
    <row r="968" ht="21.75" customHeight="1"/>
    <row r="969" ht="21.75" customHeight="1"/>
    <row r="970" ht="21.75" customHeight="1"/>
    <row r="971" ht="21.75" customHeight="1"/>
    <row r="972" ht="21.75" customHeight="1"/>
    <row r="973" ht="21.75" customHeight="1"/>
    <row r="974" ht="21.75" customHeight="1"/>
    <row r="975" ht="21.75" customHeight="1"/>
    <row r="976" ht="21.75" customHeight="1"/>
    <row r="977" ht="21.75" customHeight="1"/>
    <row r="978" ht="21.75" customHeight="1"/>
    <row r="979" ht="21.75" customHeight="1"/>
    <row r="980" ht="21.75" customHeight="1"/>
    <row r="981" ht="21.75" customHeight="1"/>
    <row r="982" ht="21.75" customHeight="1"/>
    <row r="983" ht="21.75" customHeight="1"/>
    <row r="984" ht="21.75" customHeight="1"/>
    <row r="985" ht="21.75" customHeight="1"/>
    <row r="986" ht="21.75" customHeight="1"/>
    <row r="987" ht="21.75" customHeight="1"/>
    <row r="988" ht="21.75" customHeight="1"/>
    <row r="989" ht="21.75" customHeight="1"/>
    <row r="990" ht="21.75" customHeight="1"/>
    <row r="991" ht="21.75" customHeight="1"/>
    <row r="992" ht="21.75" customHeight="1"/>
    <row r="993" ht="21.75" customHeight="1"/>
    <row r="994" ht="21.75" customHeight="1"/>
    <row r="995" ht="21.75" customHeight="1"/>
    <row r="996" ht="21.75" customHeight="1"/>
    <row r="997" ht="21.75" customHeight="1"/>
    <row r="998" ht="21.75" customHeight="1"/>
    <row r="999" ht="21.75" customHeight="1"/>
    <row r="1000" ht="21.75" customHeight="1"/>
    <row r="1001" ht="21.75" customHeight="1"/>
    <row r="1002" ht="21.75" customHeight="1"/>
    <row r="1003" ht="21.75" customHeight="1"/>
    <row r="1004" ht="21.75" customHeight="1"/>
    <row r="1005" ht="21.75" customHeight="1"/>
    <row r="1006" ht="21.75" customHeight="1"/>
    <row r="1007" ht="21.75" customHeight="1"/>
    <row r="1008" ht="21.75" customHeight="1"/>
    <row r="1009" ht="21.75" customHeight="1"/>
    <row r="1010" ht="21.75" customHeight="1"/>
    <row r="1011" ht="21.75" customHeight="1"/>
    <row r="1012" ht="21.75" customHeight="1"/>
    <row r="1013" ht="21.75" customHeight="1"/>
    <row r="1014" ht="21.75" customHeight="1"/>
    <row r="1015" ht="21.75" customHeight="1"/>
    <row r="1016" ht="21.75" customHeight="1"/>
    <row r="1017" ht="21.75" customHeight="1"/>
    <row r="1018" ht="21.75" customHeight="1"/>
    <row r="1019" ht="21.75" customHeight="1"/>
    <row r="1020" ht="21.75" customHeight="1"/>
    <row r="1021" ht="21.75" customHeight="1"/>
    <row r="1022" ht="21.75" customHeight="1"/>
    <row r="1023" ht="21.75" customHeight="1"/>
    <row r="1024" ht="21.75" customHeight="1"/>
    <row r="1025" ht="21.75" customHeight="1"/>
    <row r="1026" ht="21.75" customHeight="1"/>
    <row r="1027" ht="21.75" customHeight="1"/>
    <row r="1028" ht="21.75" customHeight="1"/>
    <row r="1029" ht="21.75" customHeight="1"/>
    <row r="1030" ht="21.75" customHeight="1"/>
    <row r="1031" ht="21.75" customHeight="1"/>
    <row r="1032" ht="21.75" customHeight="1"/>
    <row r="1033" ht="21.75" customHeight="1"/>
    <row r="1034" ht="21.75" customHeight="1"/>
    <row r="1035" ht="21.75" customHeight="1"/>
    <row r="1036" ht="21.75" customHeight="1"/>
    <row r="1037" ht="21.75" customHeight="1"/>
    <row r="1038" ht="21.75" customHeight="1"/>
    <row r="1039" ht="21.75" customHeight="1"/>
    <row r="1040" ht="21.75" customHeight="1"/>
    <row r="1041" ht="21.75" customHeight="1"/>
    <row r="1042" ht="21.75" customHeight="1"/>
    <row r="1043" ht="21.75" customHeight="1"/>
    <row r="1044" ht="21.75" customHeight="1"/>
    <row r="1045" ht="21.75" customHeight="1"/>
    <row r="1046" ht="21.75" customHeight="1"/>
    <row r="1047" ht="21.75" customHeight="1"/>
    <row r="1048" ht="21.75" customHeight="1"/>
    <row r="1049" ht="21.75" customHeight="1"/>
    <row r="1050" ht="21.75" customHeight="1"/>
    <row r="1051" ht="21.75" customHeight="1"/>
    <row r="1052" ht="21.75" customHeight="1"/>
    <row r="1053" ht="21.75" customHeight="1"/>
    <row r="1054" ht="21.75" customHeight="1"/>
    <row r="1055" ht="21.75" customHeight="1"/>
    <row r="1056" ht="21.75" customHeight="1"/>
    <row r="1057" ht="21.75" customHeight="1"/>
    <row r="1058" ht="21.75" customHeight="1"/>
    <row r="1059" ht="21.75" customHeight="1"/>
    <row r="1060" ht="21.75" customHeight="1"/>
    <row r="1061" ht="21.75" customHeight="1"/>
    <row r="1062" ht="21.75" customHeight="1"/>
    <row r="1063" ht="21.75" customHeight="1"/>
    <row r="1064" ht="21.75" customHeight="1"/>
    <row r="1065" ht="21.75" customHeight="1"/>
    <row r="1066" ht="21.75" customHeight="1"/>
    <row r="1067" ht="21.75" customHeight="1"/>
    <row r="1068" ht="21.75" customHeight="1"/>
    <row r="1069" ht="21.75" customHeight="1"/>
    <row r="1070" ht="21.75" customHeight="1"/>
    <row r="1071" ht="21.75" customHeight="1"/>
    <row r="1072" ht="21.75" customHeight="1"/>
    <row r="1073" ht="21.75" customHeight="1"/>
    <row r="1074" ht="21.75" customHeight="1"/>
    <row r="1075" ht="21.75" customHeight="1"/>
    <row r="1076" ht="21.75" customHeight="1"/>
    <row r="1077" ht="21.75" customHeight="1"/>
    <row r="1078" ht="21.75" customHeight="1"/>
    <row r="1079" ht="21.75" customHeight="1"/>
    <row r="1080" ht="21.75" customHeight="1"/>
    <row r="1081" ht="21.75" customHeight="1"/>
    <row r="1082" ht="21.75" customHeight="1"/>
    <row r="1083" ht="21.75" customHeight="1"/>
    <row r="1084" ht="21.75" customHeight="1"/>
    <row r="1085" ht="21.75" customHeight="1"/>
    <row r="1086" ht="21.75" customHeight="1"/>
    <row r="1087" ht="21.75" customHeight="1"/>
    <row r="1088" ht="21.75" customHeight="1"/>
    <row r="1089" ht="21.75" customHeight="1"/>
    <row r="1090" ht="21.75" customHeight="1"/>
    <row r="1091" ht="21.75" customHeight="1"/>
    <row r="1092" ht="21.75" customHeight="1"/>
    <row r="1093" ht="21.75" customHeight="1"/>
    <row r="1094" ht="21.75" customHeight="1"/>
    <row r="1095" ht="21.75" customHeight="1"/>
    <row r="1096" ht="21.75" customHeight="1"/>
    <row r="1097" ht="21.75" customHeight="1"/>
    <row r="1098" ht="21.75" customHeight="1"/>
    <row r="1099" ht="21.75" customHeight="1"/>
    <row r="1100" ht="21.75" customHeight="1"/>
    <row r="1101" ht="21.75" customHeight="1"/>
    <row r="1102" ht="21.75" customHeight="1"/>
    <row r="1103" ht="21.75" customHeight="1"/>
    <row r="1104" ht="21.75" customHeight="1"/>
    <row r="1105" ht="21.75" customHeight="1"/>
    <row r="1106" ht="21.75" customHeight="1"/>
    <row r="1107" ht="21.75" customHeight="1"/>
    <row r="1108" ht="21.75" customHeight="1"/>
    <row r="1109" ht="21.75" customHeight="1"/>
    <row r="1110" ht="21.75" customHeight="1"/>
    <row r="1111" ht="21.75" customHeight="1"/>
    <row r="1112" ht="21.75" customHeight="1"/>
    <row r="1113" ht="21.75" customHeight="1"/>
    <row r="1114" ht="21.75" customHeight="1"/>
    <row r="1115" ht="21.75" customHeight="1"/>
    <row r="1116" ht="21.75" customHeight="1"/>
    <row r="1117" ht="21.75" customHeight="1"/>
    <row r="1118" ht="21.75" customHeight="1"/>
    <row r="1119" ht="21.75" customHeight="1"/>
    <row r="1120" ht="21.75" customHeight="1"/>
    <row r="1121" ht="21.75" customHeight="1"/>
    <row r="1122" ht="21.75" customHeight="1"/>
    <row r="1123" ht="21.75" customHeight="1"/>
    <row r="1124" ht="21.75" customHeight="1"/>
    <row r="1125" ht="21.75" customHeight="1"/>
    <row r="1126" ht="21.75" customHeight="1"/>
    <row r="1127" ht="21.75" customHeight="1"/>
    <row r="1128" ht="21.75" customHeight="1"/>
    <row r="1129" ht="21.75" customHeight="1"/>
    <row r="1130" ht="21.75" customHeight="1"/>
    <row r="1131" ht="21.75" customHeight="1"/>
    <row r="1132" ht="21.75" customHeight="1"/>
    <row r="1133" ht="21.75" customHeight="1"/>
    <row r="1134" ht="21.75" customHeight="1"/>
    <row r="1135" ht="21.75" customHeight="1"/>
    <row r="1136" ht="21.75" customHeight="1"/>
    <row r="1137" ht="21.75" customHeight="1"/>
    <row r="1138" ht="21.75" customHeight="1"/>
    <row r="1139" ht="21.75" customHeight="1"/>
    <row r="1140" ht="21.75" customHeight="1"/>
    <row r="1141" ht="21.75" customHeight="1"/>
    <row r="1142" ht="21.75" customHeight="1"/>
    <row r="1143" ht="21.75" customHeight="1"/>
    <row r="1144" ht="21.75" customHeight="1"/>
    <row r="1145" ht="21.75" customHeight="1"/>
    <row r="1146" ht="21.75" customHeight="1"/>
    <row r="1147" ht="21.75" customHeight="1"/>
    <row r="1148" ht="21.75" customHeight="1"/>
    <row r="1149" ht="21.75" customHeight="1"/>
    <row r="1150" ht="21.75" customHeight="1"/>
    <row r="1151" ht="21.75" customHeight="1"/>
    <row r="1152" ht="21.75" customHeight="1"/>
    <row r="1153" ht="21.75" customHeight="1"/>
    <row r="1154" ht="21.75" customHeight="1"/>
    <row r="1155" ht="21.75" customHeight="1"/>
    <row r="1156" ht="21.75" customHeight="1"/>
    <row r="1157" ht="21.75" customHeight="1"/>
    <row r="1158" ht="21.75" customHeight="1"/>
    <row r="1159" ht="21.75" customHeight="1"/>
    <row r="1160" ht="21.75" customHeight="1"/>
    <row r="1161" ht="21.75" customHeight="1"/>
    <row r="1162" ht="21.75" customHeight="1"/>
    <row r="1163" ht="21.75" customHeight="1"/>
    <row r="1164" ht="21.75" customHeight="1"/>
  </sheetData>
  <sheetProtection/>
  <printOptions/>
  <pageMargins left="0.75" right="0.75" top="1" bottom="1" header="0.512" footer="0.512"/>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森島 信夫</cp:lastModifiedBy>
  <cp:lastPrinted>2014-06-06T23:52:42Z</cp:lastPrinted>
  <dcterms:created xsi:type="dcterms:W3CDTF">2001-04-01T12:06:00Z</dcterms:created>
  <dcterms:modified xsi:type="dcterms:W3CDTF">2014-06-07T00:19:30Z</dcterms:modified>
  <cp:category/>
  <cp:version/>
  <cp:contentType/>
  <cp:contentStatus/>
</cp:coreProperties>
</file>